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drawings/drawing6.xml" ContentType="application/vnd.openxmlformats-officedocument.drawingml.chartshapes+xml"/>
  <Override PartName="/xl/drawings/drawing3.xml" ContentType="application/vnd.openxmlformats-officedocument.drawingml.chartshapes+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chart9.xml" ContentType="application/vnd.openxmlformats-officedocument.drawingml.chart+xml"/>
  <Override PartName="/xl/charts/colors4.xml" ContentType="application/vnd.ms-office.chartcolorstyle+xml"/>
  <Override PartName="/xl/vbaProject.bin" ContentType="application/vnd.ms-office.vbaProject"/>
  <Override PartName="/xl/worksheets/sheet1.xml" ContentType="application/vnd.openxmlformats-officedocument.spreadsheetml.worksheet+xml"/>
  <Override PartName="/xl/worksheets/sheet2.xml" ContentType="application/vnd.openxmlformats-officedocument.spreadsheetml.worksheet+xml"/>
  <Override PartName="/xl/charts/style4.xml" ContentType="application/vnd.ms-office.chartsty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codeName="{372AB895-14C1-FC20-EB20-F1B4BCFD95AE}"/>
  <workbookPr codeName="Questa_cartella_di_lavoro" defaultThemeVersion="166925"/>
  <mc:AlternateContent xmlns:mc="http://schemas.openxmlformats.org/markup-compatibility/2006">
    <mc:Choice Requires="x15">
      <x15ac:absPath xmlns:x15ac="http://schemas.microsoft.com/office/spreadsheetml/2010/11/ac" url="C:\Users\MarcoG\Desktop\EXCEL\TC FUSION\SW TC FUSION\excel_da_caricare_6lingue\"/>
    </mc:Choice>
  </mc:AlternateContent>
  <xr:revisionPtr revIDLastSave="0" documentId="13_ncr:1_{80C9E3DF-9A41-4E38-8A80-0D40EF3A0E79}" xr6:coauthVersionLast="47" xr6:coauthVersionMax="47" xr10:uidLastSave="{00000000-0000-0000-0000-000000000000}"/>
  <workbookProtection workbookAlgorithmName="SHA-512" workbookHashValue="z7Se/2em4Rjj3h10DwE3jELJ3nY3PYkiBOKUODDcPo+DTAxVcGwJCQKpAVctnmji8E9fI8Yqsy9ZPhJ7FM+l0g==" workbookSaltValue="hTlgsQ3dmQpILewv46NSEw==" workbookSpinCount="100000" lockStructure="1"/>
  <bookViews>
    <workbookView showSheetTabs="0" xWindow="28680" yWindow="-120" windowWidth="29040" windowHeight="15720" firstSheet="2" activeTab="2" xr2:uid="{FFE1368D-E60A-40B2-B65E-1A0FEB920159}"/>
  </bookViews>
  <sheets>
    <sheet name="ShortReport" sheetId="10" r:id="rId1"/>
    <sheet name="CompleteReport" sheetId="9" r:id="rId2"/>
    <sheet name="CONDITIONS" sheetId="11" r:id="rId3"/>
    <sheet name="GEOMETRY" sheetId="7" r:id="rId4"/>
    <sheet name="CALCOLI STS (slab to slab)" sheetId="1" r:id="rId5"/>
    <sheet name="CLT EDGE DISTANCE" sheetId="5" r:id="rId6"/>
    <sheet name="CONCRETE" sheetId="4" r:id="rId7"/>
    <sheet name="CLT" sheetId="2" r:id="rId8"/>
    <sheet name="SCREWS" sheetId="3" r:id="rId9"/>
    <sheet name="traduzioni" sheetId="8" state="hidden" r:id="rId10"/>
    <sheet name="Foglio1" sheetId="6" state="hidden" r:id="rId11"/>
  </sheets>
  <definedNames>
    <definedName name="_xlnm.Print_Area" localSheetId="1">CompleteReport!$A$1:$T$112,CompleteReport!$A$114:$T$235,CompleteReport!$A$237:$T$379</definedName>
    <definedName name="_xlnm.Print_Area" localSheetId="3">GEOMETRY!$A$1:$T$87</definedName>
    <definedName name="_xlnm.Print_Area" localSheetId="0">ShortReport!$A$1:$T$141</definedName>
    <definedName name="L_11">CLT!$F$74:$F$76</definedName>
    <definedName name="L_5">CLT!$F$25:$F$35</definedName>
    <definedName name="L_7">CLT!$F$42:$F$56</definedName>
    <definedName name="L_9">CLT!$F$63:$F$67</definedName>
    <definedName name="LAYER">CLT!$C$22:$C$25</definedName>
    <definedName name="RTR_16">SCREWS!$X$84:$X$98</definedName>
    <definedName name="SCREWS">SCREWS!$E$11:$E$14</definedName>
    <definedName name="VGS_11">SCREWS!$X$40:$X$60</definedName>
    <definedName name="VGS_13">SCREWS!$X$62:$X$81</definedName>
    <definedName name="VGS_9">SCREWS!$X$28:$X$38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8" l="1"/>
  <c r="F76" i="2"/>
  <c r="F67" i="2"/>
  <c r="F56" i="2"/>
  <c r="F35" i="2"/>
  <c r="A3" i="8" l="1"/>
  <c r="A186" i="8"/>
  <c r="K28" i="7" s="1"/>
  <c r="A183" i="8"/>
  <c r="A175" i="8"/>
  <c r="A167" i="8"/>
  <c r="A159" i="8"/>
  <c r="A151" i="8"/>
  <c r="G125" i="1" s="1"/>
  <c r="A143" i="8"/>
  <c r="G116" i="1" s="1"/>
  <c r="A135" i="8"/>
  <c r="G106" i="1" s="1"/>
  <c r="A127" i="8"/>
  <c r="G97" i="1" s="1"/>
  <c r="A119" i="8"/>
  <c r="K82" i="1" s="1"/>
  <c r="A111" i="8"/>
  <c r="G83" i="1" s="1"/>
  <c r="A103" i="8"/>
  <c r="G74" i="1" s="1"/>
  <c r="A95" i="8"/>
  <c r="G90" i="7" s="1"/>
  <c r="A87" i="8"/>
  <c r="G82" i="7" s="1"/>
  <c r="A79" i="8"/>
  <c r="G75" i="7" s="1"/>
  <c r="A71" i="8"/>
  <c r="G67" i="7" s="1"/>
  <c r="A63" i="8"/>
  <c r="G59" i="7" s="1"/>
  <c r="A55" i="8"/>
  <c r="G51" i="7" s="1"/>
  <c r="A47" i="8"/>
  <c r="G43" i="7" s="1"/>
  <c r="A39" i="8"/>
  <c r="A31" i="8"/>
  <c r="W14" i="2" s="1"/>
  <c r="A23" i="8"/>
  <c r="A15" i="8"/>
  <c r="G21" i="7" s="1"/>
  <c r="A7" i="8"/>
  <c r="G9" i="7" s="1"/>
  <c r="A160" i="8"/>
  <c r="A128" i="8"/>
  <c r="D99" i="1" s="1"/>
  <c r="A96" i="8"/>
  <c r="G91" i="7" s="1"/>
  <c r="A64" i="8"/>
  <c r="D61" i="7" s="1"/>
  <c r="A40" i="8"/>
  <c r="D36" i="7" s="1"/>
  <c r="A16" i="8"/>
  <c r="G23" i="7" s="1"/>
  <c r="A182" i="8"/>
  <c r="A174" i="8"/>
  <c r="A166" i="8"/>
  <c r="A158" i="8"/>
  <c r="A150" i="8"/>
  <c r="G123" i="1" s="1"/>
  <c r="A142" i="8"/>
  <c r="G114" i="1" s="1"/>
  <c r="A134" i="8"/>
  <c r="G105" i="1" s="1"/>
  <c r="A126" i="8"/>
  <c r="G96" i="1" s="1"/>
  <c r="A118" i="8"/>
  <c r="G91" i="1" s="1"/>
  <c r="A110" i="8"/>
  <c r="G82" i="1" s="1"/>
  <c r="A102" i="8"/>
  <c r="G73" i="1" s="1"/>
  <c r="A94" i="8"/>
  <c r="G89" i="7" s="1"/>
  <c r="A86" i="8"/>
  <c r="G81" i="7" s="1"/>
  <c r="A78" i="8"/>
  <c r="G74" i="7" s="1"/>
  <c r="A70" i="8"/>
  <c r="G66" i="7" s="1"/>
  <c r="A62" i="8"/>
  <c r="G58" i="7" s="1"/>
  <c r="A54" i="8"/>
  <c r="D51" i="7" s="1"/>
  <c r="A46" i="8"/>
  <c r="G42" i="7" s="1"/>
  <c r="A38" i="8"/>
  <c r="A30" i="8"/>
  <c r="W13" i="2" s="1"/>
  <c r="A22" i="8"/>
  <c r="A14" i="8"/>
  <c r="G19" i="7" s="1"/>
  <c r="A6" i="8"/>
  <c r="G8" i="7" s="1"/>
  <c r="A185" i="8"/>
  <c r="A161" i="8"/>
  <c r="A137" i="8"/>
  <c r="G108" i="1" s="1"/>
  <c r="A113" i="8"/>
  <c r="G86" i="1" s="1"/>
  <c r="A97" i="8"/>
  <c r="D93" i="7" s="1"/>
  <c r="A73" i="8"/>
  <c r="G69" i="7" s="1"/>
  <c r="A49" i="8"/>
  <c r="G45" i="7" s="1"/>
  <c r="A17" i="8"/>
  <c r="G24" i="7" s="1"/>
  <c r="A168" i="8"/>
  <c r="A136" i="8"/>
  <c r="G107" i="1" s="1"/>
  <c r="A104" i="8"/>
  <c r="G76" i="1" s="1"/>
  <c r="A80" i="8"/>
  <c r="G76" i="7" s="1"/>
  <c r="A48" i="8"/>
  <c r="G44" i="7" s="1"/>
  <c r="A8" i="8"/>
  <c r="G10" i="7" s="1"/>
  <c r="A181" i="8"/>
  <c r="A173" i="8"/>
  <c r="A165" i="8"/>
  <c r="A157" i="8"/>
  <c r="A149" i="8"/>
  <c r="G122" i="1" s="1"/>
  <c r="A141" i="8"/>
  <c r="G113" i="1" s="1"/>
  <c r="A133" i="8"/>
  <c r="G103" i="1" s="1"/>
  <c r="A125" i="8"/>
  <c r="G95" i="1" s="1"/>
  <c r="A117" i="8"/>
  <c r="G90" i="1" s="1"/>
  <c r="A109" i="8"/>
  <c r="D82" i="1" s="1"/>
  <c r="A101" i="8"/>
  <c r="D73" i="1" s="1"/>
  <c r="A93" i="8"/>
  <c r="G88" i="7" s="1"/>
  <c r="A85" i="8"/>
  <c r="G80" i="7" s="1"/>
  <c r="A77" i="8"/>
  <c r="G73" i="7" s="1"/>
  <c r="A69" i="8"/>
  <c r="D66" i="7" s="1"/>
  <c r="A61" i="8"/>
  <c r="G57" i="7" s="1"/>
  <c r="A53" i="8"/>
  <c r="G49" i="7" s="1"/>
  <c r="A45" i="8"/>
  <c r="G41" i="7" s="1"/>
  <c r="A37" i="8"/>
  <c r="G34" i="7" s="1"/>
  <c r="A29" i="8"/>
  <c r="W12" i="2" s="1"/>
  <c r="A21" i="8"/>
  <c r="G28" i="7" s="1"/>
  <c r="A13" i="8"/>
  <c r="D19" i="7" s="1"/>
  <c r="A5" i="8"/>
  <c r="D8" i="7" s="1"/>
  <c r="A177" i="8"/>
  <c r="A153" i="8"/>
  <c r="G128" i="1" s="1"/>
  <c r="A121" i="8"/>
  <c r="A89" i="8"/>
  <c r="G84" i="7" s="1"/>
  <c r="A65" i="8"/>
  <c r="G61" i="7" s="1"/>
  <c r="A41" i="8"/>
  <c r="G36" i="7" s="1"/>
  <c r="A25" i="8"/>
  <c r="A176" i="8"/>
  <c r="A144" i="8"/>
  <c r="G117" i="1" s="1"/>
  <c r="A112" i="8"/>
  <c r="G85" i="1" s="1"/>
  <c r="A72" i="8"/>
  <c r="G68" i="7" s="1"/>
  <c r="A24" i="8"/>
  <c r="A180" i="8"/>
  <c r="A172" i="8"/>
  <c r="A164" i="8"/>
  <c r="A156" i="8"/>
  <c r="A148" i="8"/>
  <c r="G121" i="1" s="1"/>
  <c r="A140" i="8"/>
  <c r="G112" i="1" s="1"/>
  <c r="A132" i="8"/>
  <c r="G102" i="1" s="1"/>
  <c r="A124" i="8"/>
  <c r="G94" i="1" s="1"/>
  <c r="A116" i="8"/>
  <c r="G89" i="1" s="1"/>
  <c r="A108" i="8"/>
  <c r="G80" i="1" s="1"/>
  <c r="A100" i="8"/>
  <c r="G95" i="7" s="1"/>
  <c r="A92" i="8"/>
  <c r="G87" i="7" s="1"/>
  <c r="A84" i="8"/>
  <c r="G79" i="7" s="1"/>
  <c r="A76" i="8"/>
  <c r="G72" i="7" s="1"/>
  <c r="A68" i="8"/>
  <c r="G64" i="7" s="1"/>
  <c r="A60" i="8"/>
  <c r="G56" i="7" s="1"/>
  <c r="A52" i="8"/>
  <c r="G48" i="7" s="1"/>
  <c r="A44" i="8"/>
  <c r="G40" i="7" s="1"/>
  <c r="A36" i="8"/>
  <c r="G33" i="7" s="1"/>
  <c r="A28" i="8"/>
  <c r="W11" i="2" s="1"/>
  <c r="A20" i="8"/>
  <c r="G27" i="7" s="1"/>
  <c r="A12" i="8"/>
  <c r="A4" i="8"/>
  <c r="E2" i="7" s="1"/>
  <c r="A169" i="8"/>
  <c r="A145" i="8"/>
  <c r="G118" i="1" s="1"/>
  <c r="A129" i="8"/>
  <c r="G99" i="1" s="1"/>
  <c r="A105" i="8"/>
  <c r="G77" i="1" s="1"/>
  <c r="A81" i="8"/>
  <c r="K71" i="7" s="1"/>
  <c r="A57" i="8"/>
  <c r="G53" i="7" s="1"/>
  <c r="A33" i="8"/>
  <c r="G30" i="7" s="1"/>
  <c r="A9" i="8"/>
  <c r="G11" i="7" s="1"/>
  <c r="A184" i="8"/>
  <c r="A152" i="8"/>
  <c r="G126" i="1" s="1"/>
  <c r="A120" i="8"/>
  <c r="A88" i="8"/>
  <c r="G83" i="7" s="1"/>
  <c r="A56" i="8"/>
  <c r="G52" i="7" s="1"/>
  <c r="A32" i="8"/>
  <c r="D30" i="7" s="1"/>
  <c r="A179" i="8"/>
  <c r="A171" i="8"/>
  <c r="A163" i="8"/>
  <c r="A155" i="8"/>
  <c r="A147" i="8"/>
  <c r="G120" i="1" s="1"/>
  <c r="A139" i="8"/>
  <c r="G110" i="1" s="1"/>
  <c r="A131" i="8"/>
  <c r="G101" i="1" s="1"/>
  <c r="A123" i="8"/>
  <c r="G93" i="1" s="1"/>
  <c r="A115" i="8"/>
  <c r="G88" i="1" s="1"/>
  <c r="A107" i="8"/>
  <c r="G79" i="1" s="1"/>
  <c r="A99" i="8"/>
  <c r="G94" i="7" s="1"/>
  <c r="A91" i="8"/>
  <c r="G86" i="7" s="1"/>
  <c r="A83" i="8"/>
  <c r="G78" i="7" s="1"/>
  <c r="A75" i="8"/>
  <c r="G71" i="7" s="1"/>
  <c r="A67" i="8"/>
  <c r="G63" i="7" s="1"/>
  <c r="A59" i="8"/>
  <c r="G55" i="7" s="1"/>
  <c r="A51" i="8"/>
  <c r="G47" i="7" s="1"/>
  <c r="A43" i="8"/>
  <c r="G39" i="7" s="1"/>
  <c r="A35" i="8"/>
  <c r="G32" i="7" s="1"/>
  <c r="A27" i="8"/>
  <c r="W10" i="2" s="1"/>
  <c r="A19" i="8"/>
  <c r="G26" i="7" s="1"/>
  <c r="A11" i="8"/>
  <c r="A178" i="8"/>
  <c r="A170" i="8"/>
  <c r="A162" i="8"/>
  <c r="A154" i="8"/>
  <c r="G129" i="1" s="1"/>
  <c r="A146" i="8"/>
  <c r="G119" i="1" s="1"/>
  <c r="A138" i="8"/>
  <c r="D110" i="1" s="1"/>
  <c r="A130" i="8"/>
  <c r="G100" i="1" s="1"/>
  <c r="A122" i="8"/>
  <c r="D93" i="1" s="1"/>
  <c r="A114" i="8"/>
  <c r="G87" i="1" s="1"/>
  <c r="A106" i="8"/>
  <c r="G78" i="1" s="1"/>
  <c r="A98" i="8"/>
  <c r="G93" i="7" s="1"/>
  <c r="A90" i="8"/>
  <c r="D86" i="7" s="1"/>
  <c r="A82" i="8"/>
  <c r="D78" i="7" s="1"/>
  <c r="A74" i="8"/>
  <c r="G70" i="7" s="1"/>
  <c r="A66" i="8"/>
  <c r="G62" i="7" s="1"/>
  <c r="A58" i="8"/>
  <c r="G54" i="7" s="1"/>
  <c r="A50" i="8"/>
  <c r="G46" i="7" s="1"/>
  <c r="A42" i="8"/>
  <c r="G38" i="7" s="1"/>
  <c r="A34" i="8"/>
  <c r="G31" i="7" s="1"/>
  <c r="A26" i="8"/>
  <c r="W9" i="2" s="1"/>
  <c r="A18" i="8"/>
  <c r="G25" i="7" s="1"/>
  <c r="A10" i="8"/>
  <c r="D13" i="7" s="1"/>
  <c r="Z85" i="3"/>
  <c r="Z86" i="3" s="1"/>
  <c r="Z41" i="3"/>
  <c r="Z42" i="3" s="1"/>
  <c r="Z43" i="3" s="1"/>
  <c r="Z44" i="3" s="1"/>
  <c r="Z45" i="3" s="1"/>
  <c r="Z46" i="3" s="1"/>
  <c r="Z29" i="3"/>
  <c r="Z30" i="3" s="1"/>
  <c r="Z31" i="3" s="1"/>
  <c r="Z32" i="3" s="1"/>
  <c r="Z33" i="3" s="1"/>
  <c r="Z34" i="3" s="1"/>
  <c r="Z35" i="3" s="1"/>
  <c r="Z36" i="3" s="1"/>
  <c r="B220" i="8"/>
  <c r="I34" i="7" l="1"/>
  <c r="A226" i="8"/>
  <c r="G20" i="7" s="1"/>
  <c r="A224" i="8"/>
  <c r="G14" i="7" s="1"/>
  <c r="A225" i="8"/>
  <c r="G15" i="7" s="1"/>
  <c r="A223" i="8"/>
  <c r="Q9" i="4" s="1"/>
  <c r="A222" i="8"/>
  <c r="A221" i="8"/>
  <c r="K54" i="7" s="1"/>
  <c r="Z87" i="3"/>
  <c r="Z88" i="3" s="1"/>
  <c r="Z63" i="3"/>
  <c r="Z37" i="3"/>
  <c r="B189" i="8"/>
  <c r="A216" i="8" s="1"/>
  <c r="E2" i="11" l="1"/>
  <c r="J8" i="7"/>
  <c r="K93" i="7"/>
  <c r="K127" i="1"/>
  <c r="A197" i="8"/>
  <c r="B24" i="11" s="1"/>
  <c r="A205" i="8"/>
  <c r="B40" i="11" s="1"/>
  <c r="A213" i="8"/>
  <c r="B56" i="11" s="1"/>
  <c r="A198" i="8"/>
  <c r="C26" i="11" s="1"/>
  <c r="A206" i="8"/>
  <c r="C42" i="11" s="1"/>
  <c r="A214" i="8"/>
  <c r="C58" i="11" s="1"/>
  <c r="A209" i="8"/>
  <c r="B48" i="11" s="1"/>
  <c r="A196" i="8"/>
  <c r="C22" i="11" s="1"/>
  <c r="A191" i="8"/>
  <c r="B12" i="11" s="1"/>
  <c r="A199" i="8"/>
  <c r="B28" i="11" s="1"/>
  <c r="A207" i="8"/>
  <c r="B44" i="11" s="1"/>
  <c r="A215" i="8"/>
  <c r="A61" i="11" s="1"/>
  <c r="A201" i="8"/>
  <c r="B32" i="11" s="1"/>
  <c r="A204" i="8"/>
  <c r="C38" i="11" s="1"/>
  <c r="A192" i="8"/>
  <c r="C14" i="11" s="1"/>
  <c r="A200" i="8"/>
  <c r="C30" i="11" s="1"/>
  <c r="A208" i="8"/>
  <c r="C46" i="11" s="1"/>
  <c r="A190" i="8"/>
  <c r="C7" i="11" s="1"/>
  <c r="A193" i="8"/>
  <c r="B16" i="11" s="1"/>
  <c r="A194" i="8"/>
  <c r="C18" i="11" s="1"/>
  <c r="A202" i="8"/>
  <c r="C34" i="11" s="1"/>
  <c r="A210" i="8"/>
  <c r="C50" i="11" s="1"/>
  <c r="A195" i="8"/>
  <c r="B20" i="11" s="1"/>
  <c r="A203" i="8"/>
  <c r="B36" i="11" s="1"/>
  <c r="A211" i="8"/>
  <c r="B52" i="11" s="1"/>
  <c r="A212" i="8"/>
  <c r="C54" i="11" s="1"/>
  <c r="Z89" i="3"/>
  <c r="Z64" i="3"/>
  <c r="Z38" i="3"/>
  <c r="Z90" i="3" l="1"/>
  <c r="Z65" i="3"/>
  <c r="AI86" i="7"/>
  <c r="AI85" i="7"/>
  <c r="AI84" i="7"/>
  <c r="AI83" i="7"/>
  <c r="AI82" i="7"/>
  <c r="AI81" i="7"/>
  <c r="AI80" i="7"/>
  <c r="AI79" i="7"/>
  <c r="AI78" i="7"/>
  <c r="AI77" i="7"/>
  <c r="AI76" i="7"/>
  <c r="Z91" i="3" l="1"/>
  <c r="Z66" i="3"/>
  <c r="H50" i="2"/>
  <c r="H31" i="2"/>
  <c r="N11" i="2"/>
  <c r="Z92" i="3" l="1"/>
  <c r="Z93" i="3" s="1"/>
  <c r="Z94" i="3" s="1"/>
  <c r="Z95" i="3" s="1"/>
  <c r="Z96" i="3" s="1"/>
  <c r="Z67" i="3"/>
  <c r="H76" i="2"/>
  <c r="H74" i="2"/>
  <c r="F74" i="2" s="1"/>
  <c r="H66" i="2"/>
  <c r="F66" i="2" s="1"/>
  <c r="H67" i="2"/>
  <c r="H64" i="2"/>
  <c r="F64" i="2" s="1"/>
  <c r="H65" i="2"/>
  <c r="F65" i="2" s="1"/>
  <c r="H54" i="2"/>
  <c r="F54" i="2" s="1"/>
  <c r="H53" i="2"/>
  <c r="F53" i="2" s="1"/>
  <c r="H51" i="2"/>
  <c r="F51" i="2" s="1"/>
  <c r="H52" i="2"/>
  <c r="F52" i="2" s="1"/>
  <c r="H49" i="2"/>
  <c r="F49" i="2" s="1"/>
  <c r="H48" i="2"/>
  <c r="F48" i="2" s="1"/>
  <c r="H45" i="2"/>
  <c r="F45" i="2" s="1"/>
  <c r="H46" i="2"/>
  <c r="F46" i="2" s="1"/>
  <c r="H47" i="2"/>
  <c r="F47" i="2" s="1"/>
  <c r="H43" i="2"/>
  <c r="F43" i="2" s="1"/>
  <c r="H34" i="2"/>
  <c r="F34" i="2" s="1"/>
  <c r="H33" i="2"/>
  <c r="F33" i="2" s="1"/>
  <c r="F31" i="2"/>
  <c r="H30" i="2"/>
  <c r="F30" i="2" s="1"/>
  <c r="H28" i="2"/>
  <c r="F28" i="2" s="1"/>
  <c r="H27" i="2"/>
  <c r="F27" i="2" s="1"/>
  <c r="Z97" i="3" l="1"/>
  <c r="Z68" i="3"/>
  <c r="J95" i="7"/>
  <c r="J94" i="7"/>
  <c r="J93" i="7"/>
  <c r="H8" i="1"/>
  <c r="H9" i="1"/>
  <c r="H22" i="1"/>
  <c r="D23" i="3" s="1"/>
  <c r="Z98" i="3" l="1"/>
  <c r="Z69" i="3"/>
  <c r="D12" i="5"/>
  <c r="H56" i="2"/>
  <c r="H35" i="2"/>
  <c r="Z70" i="3" l="1"/>
  <c r="H55" i="7"/>
  <c r="N19" i="3"/>
  <c r="N18" i="3"/>
  <c r="AE19" i="3"/>
  <c r="AE18" i="3"/>
  <c r="H8" i="7"/>
  <c r="Z71" i="3" l="1"/>
  <c r="C4" i="5"/>
  <c r="C5" i="3"/>
  <c r="C52" i="3"/>
  <c r="C9" i="5"/>
  <c r="C9" i="4"/>
  <c r="M9" i="3"/>
  <c r="C12" i="5"/>
  <c r="M13" i="3"/>
  <c r="M16" i="3"/>
  <c r="C14" i="5"/>
  <c r="F5" i="2"/>
  <c r="C10" i="4"/>
  <c r="D17" i="4"/>
  <c r="B25" i="3"/>
  <c r="E63" i="1"/>
  <c r="G37" i="3"/>
  <c r="C13" i="5"/>
  <c r="B37" i="3"/>
  <c r="F22" i="2"/>
  <c r="C15" i="5"/>
  <c r="G25" i="3"/>
  <c r="C16" i="5"/>
  <c r="C4" i="4"/>
  <c r="A19" i="7"/>
  <c r="H27" i="7"/>
  <c r="H14" i="1"/>
  <c r="K51" i="7"/>
  <c r="I8" i="6"/>
  <c r="Q7" i="6"/>
  <c r="Z7" i="6"/>
  <c r="Z4" i="6"/>
  <c r="Z3" i="6"/>
  <c r="T7" i="6"/>
  <c r="V4" i="6"/>
  <c r="W3" i="6"/>
  <c r="W4" i="6"/>
  <c r="Q4" i="6"/>
  <c r="Q3" i="6"/>
  <c r="M6" i="6"/>
  <c r="M3" i="6"/>
  <c r="X69" i="1"/>
  <c r="AA75" i="1"/>
  <c r="AA74" i="1"/>
  <c r="AF8" i="6" l="1"/>
  <c r="Z72" i="3"/>
  <c r="K23" i="7"/>
  <c r="K26" i="7"/>
  <c r="A129" i="10"/>
  <c r="A367" i="9"/>
  <c r="A371" i="9"/>
  <c r="A133" i="10"/>
  <c r="A132" i="10"/>
  <c r="A370" i="9"/>
  <c r="A369" i="9"/>
  <c r="A131" i="10"/>
  <c r="A130" i="10"/>
  <c r="A368" i="9"/>
  <c r="D20" i="4"/>
  <c r="D18" i="4"/>
  <c r="A366" i="9"/>
  <c r="A128" i="10"/>
  <c r="H10" i="1"/>
  <c r="L82" i="1" s="1"/>
  <c r="W73" i="1"/>
  <c r="D11" i="6"/>
  <c r="Z73" i="3" l="1"/>
  <c r="Z74" i="3" s="1"/>
  <c r="Z75" i="3" s="1"/>
  <c r="Z76" i="3" s="1"/>
  <c r="X73" i="1"/>
  <c r="Y73" i="1" s="1"/>
  <c r="W75" i="1"/>
  <c r="W74" i="1"/>
  <c r="W80" i="1"/>
  <c r="W72" i="1"/>
  <c r="W79" i="1"/>
  <c r="W71" i="1"/>
  <c r="W78" i="1"/>
  <c r="W77" i="1"/>
  <c r="W76" i="1"/>
  <c r="W70" i="1"/>
  <c r="L2" i="1"/>
  <c r="D21" i="6"/>
  <c r="J86" i="6"/>
  <c r="J85" i="6"/>
  <c r="J91" i="6"/>
  <c r="AE9" i="3" l="1"/>
  <c r="N14" i="3"/>
  <c r="N10" i="3"/>
  <c r="H26" i="4"/>
  <c r="N17" i="3" s="1"/>
  <c r="AE14" i="3"/>
  <c r="AE11" i="3"/>
  <c r="J67" i="6"/>
  <c r="J65" i="6"/>
  <c r="X72" i="1"/>
  <c r="Y72" i="1" s="1"/>
  <c r="X71" i="1"/>
  <c r="Y71" i="1" s="1"/>
  <c r="X70" i="1"/>
  <c r="Y70" i="1" s="1"/>
  <c r="X74" i="1"/>
  <c r="Y74" i="1" s="1"/>
  <c r="X76" i="1"/>
  <c r="Y76" i="1" s="1"/>
  <c r="X75" i="1"/>
  <c r="X77" i="1"/>
  <c r="Y77" i="1" s="1"/>
  <c r="X78" i="1"/>
  <c r="Y78" i="1" s="1"/>
  <c r="X79" i="1"/>
  <c r="Y79" i="1" s="1"/>
  <c r="X80" i="1"/>
  <c r="Y80" i="1" s="1"/>
  <c r="J82" i="6"/>
  <c r="J83" i="6" s="1"/>
  <c r="J89" i="6" s="1"/>
  <c r="J92" i="6" s="1"/>
  <c r="AA97" i="3" l="1"/>
  <c r="AA96" i="3"/>
  <c r="AA89" i="3"/>
  <c r="AA90" i="3"/>
  <c r="AA87" i="3"/>
  <c r="AA91" i="3"/>
  <c r="AA85" i="3"/>
  <c r="AA86" i="3"/>
  <c r="AA88" i="3"/>
  <c r="AA66" i="3"/>
  <c r="AA67" i="3"/>
  <c r="AA68" i="3"/>
  <c r="AA65" i="3"/>
  <c r="AA70" i="3"/>
  <c r="AA71" i="3"/>
  <c r="AA62" i="3"/>
  <c r="AA63" i="3"/>
  <c r="AA69" i="3"/>
  <c r="AA72" i="3"/>
  <c r="AA64" i="3"/>
  <c r="AA40" i="3"/>
  <c r="AA48" i="3"/>
  <c r="AA56" i="3"/>
  <c r="AA52" i="3"/>
  <c r="AA41" i="3"/>
  <c r="AA49" i="3"/>
  <c r="AA57" i="3"/>
  <c r="AA44" i="3"/>
  <c r="AA60" i="3"/>
  <c r="AA55" i="3"/>
  <c r="AA42" i="3"/>
  <c r="AA50" i="3"/>
  <c r="AA58" i="3"/>
  <c r="AA47" i="3"/>
  <c r="AA43" i="3"/>
  <c r="AA51" i="3"/>
  <c r="AA59" i="3"/>
  <c r="AA45" i="3"/>
  <c r="AA53" i="3"/>
  <c r="AA46" i="3"/>
  <c r="AA54" i="3"/>
  <c r="AA28" i="3"/>
  <c r="AA36" i="3"/>
  <c r="AA37" i="3"/>
  <c r="Y75" i="1"/>
  <c r="AC75" i="1" s="1"/>
  <c r="AE17" i="3"/>
  <c r="AG70" i="1"/>
  <c r="M40" i="6"/>
  <c r="M39" i="6"/>
  <c r="S17" i="6"/>
  <c r="S18" i="6"/>
  <c r="S19" i="6"/>
  <c r="S20" i="6"/>
  <c r="S21" i="6"/>
  <c r="S22" i="6"/>
  <c r="S23" i="6"/>
  <c r="S24" i="6"/>
  <c r="S25" i="6"/>
  <c r="S26" i="6"/>
  <c r="S27" i="6"/>
  <c r="S28" i="6"/>
  <c r="S29" i="6"/>
  <c r="S30" i="6"/>
  <c r="S31" i="6"/>
  <c r="S32" i="6"/>
  <c r="S33" i="6"/>
  <c r="S34" i="6"/>
  <c r="S35" i="6"/>
  <c r="S36" i="6"/>
  <c r="R17" i="6"/>
  <c r="R18" i="6"/>
  <c r="R19" i="6"/>
  <c r="R20" i="6"/>
  <c r="R21" i="6"/>
  <c r="R22" i="6"/>
  <c r="R23" i="6"/>
  <c r="R24" i="6"/>
  <c r="R25" i="6"/>
  <c r="R26" i="6"/>
  <c r="R27" i="6"/>
  <c r="R28" i="6"/>
  <c r="R29" i="6"/>
  <c r="R30" i="6"/>
  <c r="R31" i="6"/>
  <c r="R32" i="6"/>
  <c r="R33" i="6"/>
  <c r="R34" i="6"/>
  <c r="R35" i="6"/>
  <c r="R36" i="6"/>
  <c r="D15" i="6"/>
  <c r="D14" i="6"/>
  <c r="AC71" i="1"/>
  <c r="G12" i="6"/>
  <c r="I12" i="6" s="1"/>
  <c r="I9" i="6"/>
  <c r="H75" i="2"/>
  <c r="F75" i="2" s="1"/>
  <c r="D9" i="6"/>
  <c r="H6" i="1"/>
  <c r="H31" i="1"/>
  <c r="H30" i="1"/>
  <c r="H43" i="7"/>
  <c r="H36" i="1"/>
  <c r="G24" i="4" s="1"/>
  <c r="H30" i="4" s="1"/>
  <c r="H37" i="1"/>
  <c r="D14" i="4" s="1"/>
  <c r="H38" i="1"/>
  <c r="D14" i="5" s="1"/>
  <c r="H39" i="1"/>
  <c r="H40" i="1"/>
  <c r="H23" i="1"/>
  <c r="H28" i="1"/>
  <c r="H20" i="1"/>
  <c r="H18" i="1"/>
  <c r="H17" i="1"/>
  <c r="H16" i="1"/>
  <c r="H4" i="1"/>
  <c r="H2" i="1"/>
  <c r="N11" i="3" s="1"/>
  <c r="AM86" i="7"/>
  <c r="AR86" i="7" s="1"/>
  <c r="AM85" i="7"/>
  <c r="AR85" i="7" s="1"/>
  <c r="AM84" i="7"/>
  <c r="AR84" i="7" s="1"/>
  <c r="AM83" i="7"/>
  <c r="AR83" i="7" s="1"/>
  <c r="AM82" i="7"/>
  <c r="AR82" i="7" s="1"/>
  <c r="AM81" i="7"/>
  <c r="AR81" i="7" s="1"/>
  <c r="AM80" i="7"/>
  <c r="AR80" i="7" s="1"/>
  <c r="AM79" i="7"/>
  <c r="AR79" i="7" s="1"/>
  <c r="AM78" i="7"/>
  <c r="AJ76" i="7"/>
  <c r="H44" i="7"/>
  <c r="H33" i="1" s="1"/>
  <c r="J11" i="2"/>
  <c r="AH10" i="3"/>
  <c r="AH11" i="3"/>
  <c r="AH12" i="3"/>
  <c r="AH9" i="3"/>
  <c r="AI9" i="3"/>
  <c r="AI12" i="3"/>
  <c r="AI11" i="3"/>
  <c r="AI10" i="3"/>
  <c r="H112" i="1" l="1"/>
  <c r="AJ85" i="7"/>
  <c r="AJ83" i="7"/>
  <c r="AL83" i="7" s="1"/>
  <c r="AO83" i="7" s="1"/>
  <c r="AJ77" i="7"/>
  <c r="AJ81" i="7"/>
  <c r="AJ79" i="7"/>
  <c r="AC70" i="1"/>
  <c r="Y3" i="6"/>
  <c r="Y7" i="6" s="1"/>
  <c r="Y6" i="6"/>
  <c r="Y9" i="6" s="1"/>
  <c r="T4" i="6"/>
  <c r="M4" i="6"/>
  <c r="AB3" i="6" s="1"/>
  <c r="AE10" i="3"/>
  <c r="N12" i="2"/>
  <c r="H20" i="7" s="1"/>
  <c r="Z70" i="1"/>
  <c r="Z71" i="1" s="1"/>
  <c r="Z72" i="1" s="1"/>
  <c r="Z73" i="1" s="1"/>
  <c r="Z74" i="1" s="1"/>
  <c r="Z75" i="1" s="1"/>
  <c r="Z76" i="1" s="1"/>
  <c r="Z77" i="1" s="1"/>
  <c r="Z78" i="1" s="1"/>
  <c r="Z79" i="1" s="1"/>
  <c r="Z80" i="1" s="1"/>
  <c r="AB69" i="1"/>
  <c r="D18" i="6"/>
  <c r="I62" i="6"/>
  <c r="D17" i="6"/>
  <c r="G60" i="6"/>
  <c r="H60" i="6" s="1"/>
  <c r="I60" i="6" s="1"/>
  <c r="AC77" i="1"/>
  <c r="G48" i="6"/>
  <c r="H48" i="6" s="1"/>
  <c r="I48" i="6" s="1"/>
  <c r="G58" i="6"/>
  <c r="H58" i="6" s="1"/>
  <c r="I58" i="6" s="1"/>
  <c r="G49" i="6"/>
  <c r="H49" i="6" s="1"/>
  <c r="I49" i="6" s="1"/>
  <c r="G41" i="6"/>
  <c r="H41" i="6" s="1"/>
  <c r="I41" i="6" s="1"/>
  <c r="G56" i="6"/>
  <c r="H56" i="6" s="1"/>
  <c r="I56" i="6" s="1"/>
  <c r="G47" i="6"/>
  <c r="H47" i="6" s="1"/>
  <c r="I47" i="6" s="1"/>
  <c r="G52" i="6"/>
  <c r="H52" i="6" s="1"/>
  <c r="I52" i="6" s="1"/>
  <c r="G55" i="6"/>
  <c r="H55" i="6" s="1"/>
  <c r="I55" i="6" s="1"/>
  <c r="G46" i="6"/>
  <c r="H46" i="6" s="1"/>
  <c r="I46" i="6" s="1"/>
  <c r="G40" i="6"/>
  <c r="H40" i="6" s="1"/>
  <c r="I40" i="6" s="1"/>
  <c r="G11" i="6"/>
  <c r="I11" i="6" s="1"/>
  <c r="G54" i="6"/>
  <c r="H54" i="6" s="1"/>
  <c r="I54" i="6" s="1"/>
  <c r="G45" i="6"/>
  <c r="H45" i="6" s="1"/>
  <c r="I45" i="6" s="1"/>
  <c r="G39" i="6"/>
  <c r="H39" i="6" s="1"/>
  <c r="I39" i="6" s="1"/>
  <c r="G53" i="6"/>
  <c r="H53" i="6" s="1"/>
  <c r="I53" i="6" s="1"/>
  <c r="G44" i="6"/>
  <c r="H44" i="6" s="1"/>
  <c r="I44" i="6" s="1"/>
  <c r="G57" i="6"/>
  <c r="H57" i="6" s="1"/>
  <c r="I57" i="6" s="1"/>
  <c r="G51" i="6"/>
  <c r="H51" i="6" s="1"/>
  <c r="I51" i="6" s="1"/>
  <c r="G43" i="6"/>
  <c r="H43" i="6" s="1"/>
  <c r="I43" i="6" s="1"/>
  <c r="G59" i="6"/>
  <c r="H59" i="6" s="1"/>
  <c r="I59" i="6" s="1"/>
  <c r="G50" i="6"/>
  <c r="H50" i="6" s="1"/>
  <c r="I50" i="6" s="1"/>
  <c r="G42" i="6"/>
  <c r="H42" i="6" s="1"/>
  <c r="I42" i="6" s="1"/>
  <c r="H12" i="6"/>
  <c r="G18" i="6"/>
  <c r="I18" i="6" s="1"/>
  <c r="G17" i="6"/>
  <c r="I17" i="6" s="1"/>
  <c r="G16" i="6"/>
  <c r="I16" i="6" s="1"/>
  <c r="G15" i="6"/>
  <c r="I15" i="6" s="1"/>
  <c r="G19" i="6"/>
  <c r="I19" i="6" s="1"/>
  <c r="G14" i="6"/>
  <c r="I14" i="6" s="1"/>
  <c r="G21" i="6"/>
  <c r="I21" i="6" s="1"/>
  <c r="G13" i="6"/>
  <c r="I13" i="6" s="1"/>
  <c r="G20" i="6"/>
  <c r="I20" i="6" s="1"/>
  <c r="H7" i="1"/>
  <c r="AQ79" i="7"/>
  <c r="AJ84" i="7"/>
  <c r="AQ84" i="7" s="1"/>
  <c r="AT84" i="7" s="1"/>
  <c r="H32" i="1"/>
  <c r="H123" i="1"/>
  <c r="AR78" i="7"/>
  <c r="AL76" i="7"/>
  <c r="AJ80" i="7"/>
  <c r="AM77" i="7"/>
  <c r="AJ78" i="7"/>
  <c r="AJ82" i="7"/>
  <c r="AM76" i="7"/>
  <c r="AJ86" i="7"/>
  <c r="AQ76" i="7"/>
  <c r="G10" i="1"/>
  <c r="AB2" i="6" l="1"/>
  <c r="AQ83" i="7"/>
  <c r="AT83" i="7" s="1"/>
  <c r="AK2" i="6"/>
  <c r="AN2" i="6" s="1"/>
  <c r="AK3" i="6"/>
  <c r="AN3" i="6" s="1"/>
  <c r="N5" i="6"/>
  <c r="AC3" i="6" s="1"/>
  <c r="M5" i="6"/>
  <c r="AB4" i="6" s="1"/>
  <c r="AB70" i="1"/>
  <c r="M12" i="6"/>
  <c r="M21" i="6"/>
  <c r="M29" i="6"/>
  <c r="M17" i="6"/>
  <c r="M14" i="6"/>
  <c r="M23" i="6"/>
  <c r="M31" i="6"/>
  <c r="M27" i="6"/>
  <c r="M15" i="6"/>
  <c r="M24" i="6"/>
  <c r="M32" i="6"/>
  <c r="M35" i="6"/>
  <c r="M16" i="6"/>
  <c r="M25" i="6"/>
  <c r="M33" i="6"/>
  <c r="M19" i="6"/>
  <c r="M18" i="6"/>
  <c r="M26" i="6"/>
  <c r="M34" i="6"/>
  <c r="M20" i="6"/>
  <c r="M28" i="6"/>
  <c r="M36" i="6"/>
  <c r="M13" i="6"/>
  <c r="M22" i="6"/>
  <c r="M30" i="6"/>
  <c r="I65" i="6"/>
  <c r="Q13" i="6"/>
  <c r="Q14" i="6"/>
  <c r="Q15" i="6"/>
  <c r="Q16" i="6"/>
  <c r="Q12" i="6"/>
  <c r="H19" i="6"/>
  <c r="H11" i="6"/>
  <c r="H18" i="6"/>
  <c r="H20" i="6"/>
  <c r="H21" i="6"/>
  <c r="H15" i="6"/>
  <c r="H16" i="6"/>
  <c r="H17" i="6"/>
  <c r="H14" i="6"/>
  <c r="H13" i="6"/>
  <c r="H88" i="1"/>
  <c r="H87" i="1"/>
  <c r="AL79" i="7"/>
  <c r="AL84" i="7"/>
  <c r="AO84" i="7" s="1"/>
  <c r="AL86" i="7"/>
  <c r="AO86" i="7" s="1"/>
  <c r="AQ86" i="7"/>
  <c r="AT86" i="7" s="1"/>
  <c r="AL82" i="7"/>
  <c r="AO82" i="7" s="1"/>
  <c r="AQ82" i="7"/>
  <c r="AT82" i="7" s="1"/>
  <c r="AR77" i="7"/>
  <c r="AL77" i="7"/>
  <c r="AQ77" i="7"/>
  <c r="AL78" i="7"/>
  <c r="AQ78" i="7"/>
  <c r="AQ85" i="7"/>
  <c r="AT85" i="7" s="1"/>
  <c r="AL85" i="7"/>
  <c r="AO85" i="7" s="1"/>
  <c r="AR76" i="7"/>
  <c r="AQ81" i="7"/>
  <c r="AT81" i="7" s="1"/>
  <c r="AL81" i="7"/>
  <c r="AO81" i="7" s="1"/>
  <c r="AQ80" i="7"/>
  <c r="AT80" i="7" s="1"/>
  <c r="AL80" i="7"/>
  <c r="AO80" i="7" s="1"/>
  <c r="AB5" i="6" l="1"/>
  <c r="AC4" i="6"/>
  <c r="AC2" i="6"/>
  <c r="AF3" i="6"/>
  <c r="AF2" i="6" s="1"/>
  <c r="AK5" i="6"/>
  <c r="AN5" i="6" s="1"/>
  <c r="AK4" i="6"/>
  <c r="AN4" i="6" s="1"/>
  <c r="AJ5" i="6"/>
  <c r="AJ2" i="6"/>
  <c r="AJ3" i="6"/>
  <c r="AJ4" i="6"/>
  <c r="N6" i="6"/>
  <c r="Q6" i="6" s="1"/>
  <c r="Q5" i="6"/>
  <c r="Z5" i="6" s="1"/>
  <c r="Z8" i="6" s="1"/>
  <c r="Z9" i="6" s="1"/>
  <c r="AB71" i="1"/>
  <c r="I66" i="6"/>
  <c r="I95" i="6"/>
  <c r="N36" i="6"/>
  <c r="O36" i="6"/>
  <c r="O25" i="6"/>
  <c r="N25" i="6"/>
  <c r="O23" i="6"/>
  <c r="N23" i="6"/>
  <c r="O35" i="6"/>
  <c r="N35" i="6"/>
  <c r="R12" i="6"/>
  <c r="R13" i="6" s="1"/>
  <c r="R14" i="6" s="1"/>
  <c r="R15" i="6" s="1"/>
  <c r="R16" i="6" s="1"/>
  <c r="N34" i="6"/>
  <c r="O34" i="6"/>
  <c r="N32" i="6"/>
  <c r="O32" i="6"/>
  <c r="O29" i="6"/>
  <c r="N29" i="6"/>
  <c r="N28" i="6"/>
  <c r="O28" i="6"/>
  <c r="O26" i="6"/>
  <c r="N26" i="6"/>
  <c r="N24" i="6"/>
  <c r="O24" i="6"/>
  <c r="N30" i="6"/>
  <c r="O30" i="6"/>
  <c r="N12" i="6"/>
  <c r="N13" i="6" s="1"/>
  <c r="N14" i="6" s="1"/>
  <c r="N15" i="6" s="1"/>
  <c r="N16" i="6" s="1"/>
  <c r="N17" i="6" s="1"/>
  <c r="N18" i="6" s="1"/>
  <c r="N19" i="6" s="1"/>
  <c r="N20" i="6" s="1"/>
  <c r="N21" i="6" s="1"/>
  <c r="N22" i="6"/>
  <c r="O22" i="6"/>
  <c r="O27" i="6"/>
  <c r="N27" i="6"/>
  <c r="O33" i="6"/>
  <c r="N33" i="6"/>
  <c r="N31" i="6"/>
  <c r="O31" i="6"/>
  <c r="J42" i="6"/>
  <c r="J41" i="6"/>
  <c r="AA84" i="3"/>
  <c r="AA38" i="3"/>
  <c r="AA78" i="3"/>
  <c r="AA95" i="3"/>
  <c r="AA35" i="3"/>
  <c r="AA77" i="3"/>
  <c r="AA94" i="3"/>
  <c r="AA29" i="3"/>
  <c r="AA34" i="3"/>
  <c r="AA76" i="3"/>
  <c r="AA93" i="3"/>
  <c r="AA98" i="3"/>
  <c r="AA33" i="3"/>
  <c r="AA75" i="3"/>
  <c r="AA92" i="3"/>
  <c r="AA79" i="3"/>
  <c r="AA32" i="3"/>
  <c r="AA74" i="3"/>
  <c r="AA31" i="3"/>
  <c r="AA81" i="3"/>
  <c r="AA73" i="3"/>
  <c r="AA30" i="3"/>
  <c r="AA80" i="3"/>
  <c r="AF4" i="6" l="1"/>
  <c r="AF5" i="6" s="1"/>
  <c r="AC5" i="6"/>
  <c r="Z6" i="6"/>
  <c r="T6" i="6"/>
  <c r="J43" i="6"/>
  <c r="M41" i="6"/>
  <c r="J44" i="6"/>
  <c r="M42" i="6"/>
  <c r="AC80" i="1"/>
  <c r="AC79" i="1"/>
  <c r="AC78" i="1"/>
  <c r="AC76" i="1"/>
  <c r="AC74" i="1"/>
  <c r="AC72" i="1"/>
  <c r="J46" i="6" l="1"/>
  <c r="M44" i="6"/>
  <c r="J45" i="6"/>
  <c r="M43" i="6"/>
  <c r="Z94" i="1"/>
  <c r="AC73" i="1"/>
  <c r="Z92" i="1"/>
  <c r="Z93" i="1"/>
  <c r="V93" i="1"/>
  <c r="V92" i="1"/>
  <c r="H55" i="2"/>
  <c r="F55" i="2" s="1"/>
  <c r="H63" i="2"/>
  <c r="F63" i="2" s="1"/>
  <c r="J47" i="6" l="1"/>
  <c r="M45" i="6"/>
  <c r="J48" i="6"/>
  <c r="M46" i="6"/>
  <c r="H62" i="7"/>
  <c r="H47" i="1" s="1"/>
  <c r="M9" i="2"/>
  <c r="E14" i="3"/>
  <c r="E13" i="3"/>
  <c r="E12" i="3"/>
  <c r="E11" i="3"/>
  <c r="G15" i="4"/>
  <c r="D15" i="4"/>
  <c r="F14" i="4"/>
  <c r="W96" i="3" l="1"/>
  <c r="W97" i="3"/>
  <c r="W95" i="3"/>
  <c r="W90" i="3"/>
  <c r="W91" i="3"/>
  <c r="W87" i="3"/>
  <c r="W89" i="3"/>
  <c r="W85" i="3"/>
  <c r="W86" i="3"/>
  <c r="W88" i="3"/>
  <c r="W73" i="3"/>
  <c r="X73" i="3" s="1"/>
  <c r="W66" i="3"/>
  <c r="W69" i="3"/>
  <c r="W70" i="3"/>
  <c r="W67" i="3"/>
  <c r="W65" i="3"/>
  <c r="W68" i="3"/>
  <c r="W62" i="3"/>
  <c r="W63" i="3"/>
  <c r="W71" i="3"/>
  <c r="W64" i="3"/>
  <c r="W72" i="3"/>
  <c r="W46" i="3"/>
  <c r="AH46" i="3" s="1"/>
  <c r="W53" i="3"/>
  <c r="W41" i="3"/>
  <c r="W40" i="3"/>
  <c r="W54" i="3"/>
  <c r="W42" i="3"/>
  <c r="W45" i="3"/>
  <c r="W55" i="3"/>
  <c r="W43" i="3"/>
  <c r="W56" i="3"/>
  <c r="W44" i="3"/>
  <c r="W59" i="3"/>
  <c r="W28" i="3"/>
  <c r="Y28" i="3" s="1"/>
  <c r="W36" i="3"/>
  <c r="W37" i="3"/>
  <c r="N16" i="2"/>
  <c r="N18" i="2"/>
  <c r="H61" i="7" s="1"/>
  <c r="N14" i="2"/>
  <c r="I29" i="3" s="1"/>
  <c r="N15" i="2"/>
  <c r="H121" i="1" s="1"/>
  <c r="H64" i="7"/>
  <c r="H49" i="1" s="1"/>
  <c r="H38" i="7"/>
  <c r="D29" i="3"/>
  <c r="D30" i="3" s="1"/>
  <c r="I31" i="3"/>
  <c r="D40" i="3"/>
  <c r="J50" i="6"/>
  <c r="M48" i="6"/>
  <c r="J49" i="6"/>
  <c r="M47" i="6"/>
  <c r="AB77" i="1"/>
  <c r="AE77" i="1" s="1"/>
  <c r="AF77" i="1" s="1"/>
  <c r="AG77" i="1" s="1"/>
  <c r="AB76" i="1"/>
  <c r="AE76" i="1" s="1"/>
  <c r="AF76" i="1" s="1"/>
  <c r="AG76" i="1" s="1"/>
  <c r="AB73" i="1"/>
  <c r="AB75" i="1"/>
  <c r="AE75" i="1" s="1"/>
  <c r="AF75" i="1" s="1"/>
  <c r="AG75" i="1" s="1"/>
  <c r="AB72" i="1"/>
  <c r="AB79" i="1"/>
  <c r="AE79" i="1" s="1"/>
  <c r="AF79" i="1" s="1"/>
  <c r="AG79" i="1" s="1"/>
  <c r="AB80" i="1"/>
  <c r="AE80" i="1" s="1"/>
  <c r="AF80" i="1" s="1"/>
  <c r="AG80" i="1" s="1"/>
  <c r="AB78" i="1"/>
  <c r="AE78" i="1" s="1"/>
  <c r="AF78" i="1" s="1"/>
  <c r="AG78" i="1" s="1"/>
  <c r="AB74" i="1"/>
  <c r="AE74" i="1" s="1"/>
  <c r="AF74" i="1" s="1"/>
  <c r="AG74" i="1" s="1"/>
  <c r="F15" i="4"/>
  <c r="J15" i="4" s="1"/>
  <c r="M15" i="4" s="1"/>
  <c r="H18" i="4" s="1"/>
  <c r="H57" i="7" s="1"/>
  <c r="I41" i="3"/>
  <c r="I40" i="3"/>
  <c r="AH95" i="3"/>
  <c r="Y46" i="3"/>
  <c r="Z47" i="3"/>
  <c r="Z48" i="3" s="1"/>
  <c r="Z49" i="3" s="1"/>
  <c r="Z50" i="3" s="1"/>
  <c r="Z51" i="3" s="1"/>
  <c r="Z52" i="3" s="1"/>
  <c r="Z53" i="3" s="1"/>
  <c r="X95" i="3"/>
  <c r="Y95" i="3"/>
  <c r="W94" i="3"/>
  <c r="AH94" i="3" s="1"/>
  <c r="W34" i="3"/>
  <c r="Y34" i="3" s="1"/>
  <c r="W93" i="3"/>
  <c r="AH93" i="3" s="1"/>
  <c r="W92" i="3"/>
  <c r="W81" i="3"/>
  <c r="W84" i="3"/>
  <c r="W98" i="3"/>
  <c r="AH98" i="3" s="1"/>
  <c r="G14" i="4"/>
  <c r="W80" i="3"/>
  <c r="W33" i="3"/>
  <c r="Y33" i="3" s="1"/>
  <c r="W57" i="3"/>
  <c r="W32" i="3"/>
  <c r="Y32" i="3" s="1"/>
  <c r="W52" i="3"/>
  <c r="W79" i="3"/>
  <c r="W31" i="3"/>
  <c r="Y31" i="3" s="1"/>
  <c r="W51" i="3"/>
  <c r="W78" i="3"/>
  <c r="W30" i="3"/>
  <c r="Y30" i="3" s="1"/>
  <c r="W50" i="3"/>
  <c r="W77" i="3"/>
  <c r="W75" i="3"/>
  <c r="W29" i="3"/>
  <c r="Y29" i="3" s="1"/>
  <c r="W49" i="3"/>
  <c r="W76" i="3"/>
  <c r="W38" i="3"/>
  <c r="Y38" i="3" s="1"/>
  <c r="W48" i="3"/>
  <c r="W35" i="3"/>
  <c r="Y35" i="3" s="1"/>
  <c r="W60" i="3"/>
  <c r="W47" i="3"/>
  <c r="W74" i="3"/>
  <c r="W58" i="3"/>
  <c r="B25" i="2"/>
  <c r="C25" i="2" s="1"/>
  <c r="B24" i="2"/>
  <c r="C24" i="2" s="1"/>
  <c r="B23" i="2"/>
  <c r="C23" i="2" s="1"/>
  <c r="B22" i="2"/>
  <c r="C22" i="2" s="1"/>
  <c r="H44" i="2"/>
  <c r="F44" i="2" s="1"/>
  <c r="F50" i="2"/>
  <c r="H42" i="2"/>
  <c r="F42" i="2" s="1"/>
  <c r="H25" i="2"/>
  <c r="F25" i="2" s="1"/>
  <c r="H26" i="2"/>
  <c r="F26" i="2" s="1"/>
  <c r="H29" i="2"/>
  <c r="F29" i="2" s="1"/>
  <c r="H32" i="2"/>
  <c r="F32" i="2" s="1"/>
  <c r="K40" i="7" l="1"/>
  <c r="K41" i="7"/>
  <c r="X46" i="3"/>
  <c r="X97" i="3"/>
  <c r="AH97" i="3"/>
  <c r="Y97" i="3"/>
  <c r="Y96" i="3"/>
  <c r="AH96" i="3"/>
  <c r="X96" i="3"/>
  <c r="Y88" i="3"/>
  <c r="X88" i="3"/>
  <c r="AH88" i="3"/>
  <c r="AH85" i="3"/>
  <c r="X85" i="3"/>
  <c r="Y85" i="3"/>
  <c r="Y89" i="3"/>
  <c r="AH89" i="3"/>
  <c r="X89" i="3"/>
  <c r="Y87" i="3"/>
  <c r="X87" i="3"/>
  <c r="AH87" i="3"/>
  <c r="X91" i="3"/>
  <c r="AH91" i="3"/>
  <c r="Y91" i="3"/>
  <c r="Y86" i="3"/>
  <c r="X86" i="3"/>
  <c r="AH86" i="3"/>
  <c r="AH90" i="3"/>
  <c r="X90" i="3"/>
  <c r="Y90" i="3"/>
  <c r="Y73" i="3"/>
  <c r="AF73" i="3" s="1"/>
  <c r="AB73" i="3" s="1"/>
  <c r="AD73" i="3" s="1"/>
  <c r="AH73" i="3"/>
  <c r="AH72" i="3"/>
  <c r="Y72" i="3"/>
  <c r="X72" i="3"/>
  <c r="X67" i="3"/>
  <c r="Y67" i="3"/>
  <c r="AH67" i="3"/>
  <c r="X65" i="3"/>
  <c r="AH65" i="3"/>
  <c r="Y65" i="3"/>
  <c r="AH64" i="3"/>
  <c r="X64" i="3"/>
  <c r="Y64" i="3"/>
  <c r="AH70" i="3"/>
  <c r="Y70" i="3"/>
  <c r="X70" i="3"/>
  <c r="Y71" i="3"/>
  <c r="AH71" i="3"/>
  <c r="X71" i="3"/>
  <c r="AH69" i="3"/>
  <c r="X69" i="3"/>
  <c r="Y69" i="3"/>
  <c r="AH63" i="3"/>
  <c r="X63" i="3"/>
  <c r="Y63" i="3"/>
  <c r="Y66" i="3"/>
  <c r="X66" i="3"/>
  <c r="AH66" i="3"/>
  <c r="X68" i="3"/>
  <c r="AH68" i="3"/>
  <c r="Y68" i="3"/>
  <c r="X62" i="3"/>
  <c r="Y62" i="3"/>
  <c r="AH62" i="3"/>
  <c r="Y45" i="3"/>
  <c r="AH45" i="3"/>
  <c r="X45" i="3"/>
  <c r="AH59" i="3"/>
  <c r="Y59" i="3"/>
  <c r="X42" i="3"/>
  <c r="AH42" i="3"/>
  <c r="Y42" i="3"/>
  <c r="Z54" i="3"/>
  <c r="X54" i="3" s="1"/>
  <c r="AH44" i="3"/>
  <c r="Y44" i="3"/>
  <c r="X44" i="3"/>
  <c r="AH54" i="3"/>
  <c r="Y54" i="3"/>
  <c r="Y56" i="3"/>
  <c r="AH56" i="3"/>
  <c r="X40" i="3"/>
  <c r="AH40" i="3"/>
  <c r="Y40" i="3"/>
  <c r="AH43" i="3"/>
  <c r="X43" i="3"/>
  <c r="Y43" i="3"/>
  <c r="AH41" i="3"/>
  <c r="X41" i="3"/>
  <c r="Y41" i="3"/>
  <c r="Y55" i="3"/>
  <c r="AH55" i="3"/>
  <c r="Y53" i="3"/>
  <c r="X53" i="3"/>
  <c r="AH53" i="3"/>
  <c r="AH28" i="3"/>
  <c r="X28" i="3"/>
  <c r="X36" i="3"/>
  <c r="Y36" i="3"/>
  <c r="AH36" i="3"/>
  <c r="X37" i="3"/>
  <c r="AH37" i="3"/>
  <c r="Y37" i="3"/>
  <c r="AG28" i="3"/>
  <c r="AC28" i="3" s="1"/>
  <c r="AE28" i="3" s="1"/>
  <c r="AF28" i="3"/>
  <c r="AB28" i="3" s="1"/>
  <c r="AD28" i="3" s="1"/>
  <c r="H33" i="7"/>
  <c r="D10" i="6" s="1"/>
  <c r="H49" i="7"/>
  <c r="H45" i="7"/>
  <c r="H26" i="1" s="1"/>
  <c r="H24" i="1"/>
  <c r="E23" i="3" s="1"/>
  <c r="H46" i="7"/>
  <c r="H27" i="1" s="1"/>
  <c r="AH76" i="1"/>
  <c r="AH77" i="1"/>
  <c r="AH75" i="1"/>
  <c r="AH78" i="1"/>
  <c r="AH79" i="1"/>
  <c r="AH80" i="1"/>
  <c r="J51" i="6"/>
  <c r="M49" i="6"/>
  <c r="J52" i="6"/>
  <c r="M50" i="6"/>
  <c r="J14" i="4"/>
  <c r="T35" i="1"/>
  <c r="S35" i="1" s="1"/>
  <c r="U35" i="1" s="1"/>
  <c r="H63" i="7"/>
  <c r="H48" i="1" s="1"/>
  <c r="H46" i="1"/>
  <c r="I42" i="3"/>
  <c r="I43" i="3" s="1"/>
  <c r="AH35" i="3"/>
  <c r="Y77" i="3"/>
  <c r="AH77" i="3"/>
  <c r="AH32" i="3"/>
  <c r="Y50" i="3"/>
  <c r="AH50" i="3"/>
  <c r="AF95" i="3"/>
  <c r="AB95" i="3" s="1"/>
  <c r="AD95" i="3" s="1"/>
  <c r="AG95" i="3"/>
  <c r="Y79" i="3"/>
  <c r="AH79" i="3"/>
  <c r="Y52" i="3"/>
  <c r="AH52" i="3"/>
  <c r="AH33" i="3"/>
  <c r="AF46" i="3"/>
  <c r="AB46" i="3" s="1"/>
  <c r="AD46" i="3" s="1"/>
  <c r="AG46" i="3"/>
  <c r="Y48" i="3"/>
  <c r="AH48" i="3"/>
  <c r="AH38" i="3"/>
  <c r="Y57" i="3"/>
  <c r="AH57" i="3"/>
  <c r="Y84" i="3"/>
  <c r="AH84" i="3"/>
  <c r="Y78" i="3"/>
  <c r="AH78" i="3"/>
  <c r="Y58" i="3"/>
  <c r="AH58" i="3"/>
  <c r="Y49" i="3"/>
  <c r="AH49" i="3"/>
  <c r="Y51" i="3"/>
  <c r="AH51" i="3"/>
  <c r="X92" i="3"/>
  <c r="AH92" i="3"/>
  <c r="Y47" i="3"/>
  <c r="AH47" i="3"/>
  <c r="Y75" i="3"/>
  <c r="AH75" i="3"/>
  <c r="Y60" i="3"/>
  <c r="AH60" i="3"/>
  <c r="AH30" i="3"/>
  <c r="Y76" i="3"/>
  <c r="AH76" i="3"/>
  <c r="Y81" i="3"/>
  <c r="AH81" i="3"/>
  <c r="Y74" i="3"/>
  <c r="AH74" i="3"/>
  <c r="AH29" i="3"/>
  <c r="AH31" i="3"/>
  <c r="Y80" i="3"/>
  <c r="AH80" i="3"/>
  <c r="AH34" i="3"/>
  <c r="X84" i="3"/>
  <c r="X93" i="3"/>
  <c r="Y93" i="3"/>
  <c r="Y92" i="3"/>
  <c r="X98" i="3"/>
  <c r="Y98" i="3"/>
  <c r="X94" i="3"/>
  <c r="Y94" i="3"/>
  <c r="X74" i="3"/>
  <c r="X47" i="3"/>
  <c r="X30" i="3"/>
  <c r="X29" i="3"/>
  <c r="AF96" i="3" l="1"/>
  <c r="AB96" i="3" s="1"/>
  <c r="AD96" i="3" s="1"/>
  <c r="AG96" i="3"/>
  <c r="AC96" i="3" s="1"/>
  <c r="AE96" i="3" s="1"/>
  <c r="AG97" i="3"/>
  <c r="AC97" i="3" s="1"/>
  <c r="AE97" i="3" s="1"/>
  <c r="AF97" i="3"/>
  <c r="AB97" i="3" s="1"/>
  <c r="AD97" i="3" s="1"/>
  <c r="AG86" i="3"/>
  <c r="AC86" i="3" s="1"/>
  <c r="AE86" i="3" s="1"/>
  <c r="AF86" i="3"/>
  <c r="AB86" i="3" s="1"/>
  <c r="AD86" i="3" s="1"/>
  <c r="AG85" i="3"/>
  <c r="AF85" i="3"/>
  <c r="AB85" i="3" s="1"/>
  <c r="AD85" i="3" s="1"/>
  <c r="AF90" i="3"/>
  <c r="AB90" i="3" s="1"/>
  <c r="AD90" i="3" s="1"/>
  <c r="AG90" i="3"/>
  <c r="AF91" i="3"/>
  <c r="AG91" i="3"/>
  <c r="AC91" i="3" s="1"/>
  <c r="AE91" i="3" s="1"/>
  <c r="AF89" i="3"/>
  <c r="AB89" i="3" s="1"/>
  <c r="AD89" i="3" s="1"/>
  <c r="AG89" i="3"/>
  <c r="AC89" i="3" s="1"/>
  <c r="AE89" i="3" s="1"/>
  <c r="AF87" i="3"/>
  <c r="AG87" i="3"/>
  <c r="AF88" i="3"/>
  <c r="AB88" i="3" s="1"/>
  <c r="AD88" i="3" s="1"/>
  <c r="AG88" i="3"/>
  <c r="AC88" i="3" s="1"/>
  <c r="AE88" i="3" s="1"/>
  <c r="AG73" i="3"/>
  <c r="AJ73" i="3" s="1"/>
  <c r="AG69" i="3"/>
  <c r="AF69" i="3"/>
  <c r="AB69" i="3" s="1"/>
  <c r="AD69" i="3" s="1"/>
  <c r="AF67" i="3"/>
  <c r="AB67" i="3" s="1"/>
  <c r="AD67" i="3" s="1"/>
  <c r="AG67" i="3"/>
  <c r="AC67" i="3" s="1"/>
  <c r="AE67" i="3" s="1"/>
  <c r="AF64" i="3"/>
  <c r="AG64" i="3"/>
  <c r="AC64" i="3" s="1"/>
  <c r="AE64" i="3" s="1"/>
  <c r="AG72" i="3"/>
  <c r="AC72" i="3" s="1"/>
  <c r="AE72" i="3" s="1"/>
  <c r="AF72" i="3"/>
  <c r="AF66" i="3"/>
  <c r="AB66" i="3" s="1"/>
  <c r="AD66" i="3" s="1"/>
  <c r="AG66" i="3"/>
  <c r="AC66" i="3" s="1"/>
  <c r="AE66" i="3" s="1"/>
  <c r="AF65" i="3"/>
  <c r="AB65" i="3" s="1"/>
  <c r="AD65" i="3" s="1"/>
  <c r="AG65" i="3"/>
  <c r="AF62" i="3"/>
  <c r="AB62" i="3" s="1"/>
  <c r="AD62" i="3" s="1"/>
  <c r="AG62" i="3"/>
  <c r="AC62" i="3" s="1"/>
  <c r="AE62" i="3" s="1"/>
  <c r="AF63" i="3"/>
  <c r="AB63" i="3" s="1"/>
  <c r="AD63" i="3" s="1"/>
  <c r="AG63" i="3"/>
  <c r="AC63" i="3" s="1"/>
  <c r="AE63" i="3" s="1"/>
  <c r="AF71" i="3"/>
  <c r="AB71" i="3" s="1"/>
  <c r="AD71" i="3" s="1"/>
  <c r="AG71" i="3"/>
  <c r="AC71" i="3" s="1"/>
  <c r="AE71" i="3" s="1"/>
  <c r="AG68" i="3"/>
  <c r="AC68" i="3" s="1"/>
  <c r="AE68" i="3" s="1"/>
  <c r="AF68" i="3"/>
  <c r="AG70" i="3"/>
  <c r="AC70" i="3" s="1"/>
  <c r="AE70" i="3" s="1"/>
  <c r="AF70" i="3"/>
  <c r="AB70" i="3" s="1"/>
  <c r="AD70" i="3" s="1"/>
  <c r="AG43" i="3"/>
  <c r="AC43" i="3" s="1"/>
  <c r="AE43" i="3" s="1"/>
  <c r="AF43" i="3"/>
  <c r="AB43" i="3" s="1"/>
  <c r="AD43" i="3" s="1"/>
  <c r="AF56" i="3"/>
  <c r="AI56" i="3" s="1"/>
  <c r="AG56" i="3"/>
  <c r="AJ56" i="3" s="1"/>
  <c r="Z55" i="3"/>
  <c r="AG53" i="3"/>
  <c r="AF53" i="3"/>
  <c r="AB53" i="3" s="1"/>
  <c r="AD53" i="3" s="1"/>
  <c r="AF54" i="3"/>
  <c r="AI54" i="3" s="1"/>
  <c r="AG54" i="3"/>
  <c r="AC54" i="3" s="1"/>
  <c r="AE54" i="3" s="1"/>
  <c r="AF42" i="3"/>
  <c r="AB42" i="3" s="1"/>
  <c r="AD42" i="3" s="1"/>
  <c r="AG42" i="3"/>
  <c r="AF59" i="3"/>
  <c r="AG59" i="3"/>
  <c r="AJ59" i="3" s="1"/>
  <c r="AF40" i="3"/>
  <c r="AB40" i="3" s="1"/>
  <c r="AD40" i="3" s="1"/>
  <c r="AG40" i="3"/>
  <c r="AG55" i="3"/>
  <c r="AJ55" i="3" s="1"/>
  <c r="AF55" i="3"/>
  <c r="AI55" i="3" s="1"/>
  <c r="AF41" i="3"/>
  <c r="AG41" i="3"/>
  <c r="AC41" i="3" s="1"/>
  <c r="AE41" i="3" s="1"/>
  <c r="AF44" i="3"/>
  <c r="AB44" i="3" s="1"/>
  <c r="AD44" i="3" s="1"/>
  <c r="AG44" i="3"/>
  <c r="AF45" i="3"/>
  <c r="AG45" i="3"/>
  <c r="AC45" i="3" s="1"/>
  <c r="AE45" i="3" s="1"/>
  <c r="AF37" i="3"/>
  <c r="AB37" i="3" s="1"/>
  <c r="AD37" i="3" s="1"/>
  <c r="AG37" i="3"/>
  <c r="AC37" i="3" s="1"/>
  <c r="AE37" i="3" s="1"/>
  <c r="AF36" i="3"/>
  <c r="AB36" i="3" s="1"/>
  <c r="AD36" i="3" s="1"/>
  <c r="AG36" i="3"/>
  <c r="AI28" i="3"/>
  <c r="AR28" i="3" s="1"/>
  <c r="AS28" i="3" s="1"/>
  <c r="AJ28" i="3"/>
  <c r="AZ28" i="3" s="1"/>
  <c r="BA28" i="3" s="1"/>
  <c r="AO74" i="7"/>
  <c r="AS76" i="7" s="1"/>
  <c r="H19" i="1"/>
  <c r="H113" i="1" s="1"/>
  <c r="K49" i="7"/>
  <c r="H29" i="1"/>
  <c r="K29" i="1" s="1"/>
  <c r="AC73" i="3"/>
  <c r="X31" i="3"/>
  <c r="AJ46" i="3"/>
  <c r="AC46" i="3"/>
  <c r="AJ95" i="3"/>
  <c r="AC95" i="3"/>
  <c r="AE95" i="3" s="1"/>
  <c r="X48" i="3"/>
  <c r="H102" i="1"/>
  <c r="H87" i="7" s="1"/>
  <c r="H106" i="1"/>
  <c r="H90" i="7" s="1"/>
  <c r="D16" i="5"/>
  <c r="J95" i="6"/>
  <c r="J96" i="6" s="1"/>
  <c r="M14" i="4"/>
  <c r="H17" i="4" s="1"/>
  <c r="H20" i="4" s="1"/>
  <c r="J54" i="6"/>
  <c r="M52" i="6"/>
  <c r="J53" i="6"/>
  <c r="M51" i="6"/>
  <c r="J61" i="6"/>
  <c r="M61" i="6" s="1"/>
  <c r="J68" i="6" s="1"/>
  <c r="J62" i="6"/>
  <c r="D41" i="3"/>
  <c r="H47" i="7" s="1"/>
  <c r="H42" i="1"/>
  <c r="T39" i="1"/>
  <c r="S39" i="1" s="1"/>
  <c r="U39" i="1" s="1"/>
  <c r="D53" i="3"/>
  <c r="AI73" i="3"/>
  <c r="AL73" i="3" s="1"/>
  <c r="AM73" i="3" s="1"/>
  <c r="AF58" i="3"/>
  <c r="AI58" i="3" s="1"/>
  <c r="AG58" i="3"/>
  <c r="AJ58" i="3" s="1"/>
  <c r="AF38" i="3"/>
  <c r="AI38" i="3" s="1"/>
  <c r="AG38" i="3"/>
  <c r="AJ38" i="3" s="1"/>
  <c r="AF52" i="3"/>
  <c r="AI52" i="3" s="1"/>
  <c r="AG52" i="3"/>
  <c r="AJ52" i="3" s="1"/>
  <c r="AF60" i="3"/>
  <c r="AI60" i="3" s="1"/>
  <c r="AG60" i="3"/>
  <c r="AJ60" i="3" s="1"/>
  <c r="AF78" i="3"/>
  <c r="AI78" i="3" s="1"/>
  <c r="AG78" i="3"/>
  <c r="AJ78" i="3" s="1"/>
  <c r="AF33" i="3"/>
  <c r="AI33" i="3" s="1"/>
  <c r="AG33" i="3"/>
  <c r="AJ33" i="3" s="1"/>
  <c r="AF31" i="3"/>
  <c r="AI31" i="3" s="1"/>
  <c r="AG31" i="3"/>
  <c r="AJ31" i="3" s="1"/>
  <c r="AF76" i="3"/>
  <c r="AI76" i="3" s="1"/>
  <c r="AG76" i="3"/>
  <c r="AJ76" i="3" s="1"/>
  <c r="AF75" i="3"/>
  <c r="AB75" i="3" s="1"/>
  <c r="AD75" i="3" s="1"/>
  <c r="AG75" i="3"/>
  <c r="AJ75" i="3" s="1"/>
  <c r="AF50" i="3"/>
  <c r="AI50" i="3" s="1"/>
  <c r="AG50" i="3"/>
  <c r="AJ50" i="3" s="1"/>
  <c r="AF32" i="3"/>
  <c r="AI32" i="3" s="1"/>
  <c r="AG32" i="3"/>
  <c r="AJ32" i="3" s="1"/>
  <c r="AF80" i="3"/>
  <c r="AI80" i="3" s="1"/>
  <c r="AG80" i="3"/>
  <c r="AJ80" i="3" s="1"/>
  <c r="AF51" i="3"/>
  <c r="AI51" i="3" s="1"/>
  <c r="AG51" i="3"/>
  <c r="AJ51" i="3" s="1"/>
  <c r="AF84" i="3"/>
  <c r="AB84" i="3" s="1"/>
  <c r="AD84" i="3" s="1"/>
  <c r="AG84" i="3"/>
  <c r="AF48" i="3"/>
  <c r="AI48" i="3" s="1"/>
  <c r="AG48" i="3"/>
  <c r="AJ48" i="3" s="1"/>
  <c r="AF74" i="3"/>
  <c r="AB74" i="3" s="1"/>
  <c r="AD74" i="3" s="1"/>
  <c r="AG74" i="3"/>
  <c r="AF94" i="3"/>
  <c r="AB94" i="3" s="1"/>
  <c r="AD94" i="3" s="1"/>
  <c r="AG94" i="3"/>
  <c r="AF81" i="3"/>
  <c r="AI81" i="3" s="1"/>
  <c r="AG81" i="3"/>
  <c r="AJ81" i="3" s="1"/>
  <c r="AF79" i="3"/>
  <c r="AI79" i="3" s="1"/>
  <c r="AG79" i="3"/>
  <c r="AJ79" i="3" s="1"/>
  <c r="X75" i="3"/>
  <c r="AF92" i="3"/>
  <c r="AB92" i="3" s="1"/>
  <c r="AD92" i="3" s="1"/>
  <c r="AG92" i="3"/>
  <c r="AF29" i="3"/>
  <c r="AB29" i="3" s="1"/>
  <c r="AD29" i="3" s="1"/>
  <c r="AG29" i="3"/>
  <c r="AF30" i="3"/>
  <c r="AB30" i="3" s="1"/>
  <c r="AD30" i="3" s="1"/>
  <c r="AG30" i="3"/>
  <c r="AF47" i="3"/>
  <c r="AB47" i="3" s="1"/>
  <c r="AD47" i="3" s="1"/>
  <c r="AG47" i="3"/>
  <c r="AI46" i="3"/>
  <c r="AL46" i="3" s="1"/>
  <c r="AM46" i="3" s="1"/>
  <c r="AF77" i="3"/>
  <c r="AI77" i="3" s="1"/>
  <c r="AG77" i="3"/>
  <c r="AJ77" i="3" s="1"/>
  <c r="AF34" i="3"/>
  <c r="AI34" i="3" s="1"/>
  <c r="AG34" i="3"/>
  <c r="AJ34" i="3" s="1"/>
  <c r="AF98" i="3"/>
  <c r="AB98" i="3" s="1"/>
  <c r="AD98" i="3" s="1"/>
  <c r="AG98" i="3"/>
  <c r="AF93" i="3"/>
  <c r="AB93" i="3" s="1"/>
  <c r="AD93" i="3" s="1"/>
  <c r="AG93" i="3"/>
  <c r="AF49" i="3"/>
  <c r="AI49" i="3" s="1"/>
  <c r="AG49" i="3"/>
  <c r="AJ49" i="3" s="1"/>
  <c r="AF57" i="3"/>
  <c r="AI57" i="3" s="1"/>
  <c r="AG57" i="3"/>
  <c r="AJ57" i="3" s="1"/>
  <c r="AI95" i="3"/>
  <c r="AL95" i="3" s="1"/>
  <c r="AM95" i="3" s="1"/>
  <c r="AF35" i="3"/>
  <c r="AI35" i="3" s="1"/>
  <c r="AG35" i="3"/>
  <c r="AJ35" i="3" s="1"/>
  <c r="AI96" i="3" l="1"/>
  <c r="AX96" i="3" s="1"/>
  <c r="AY96" i="3" s="1"/>
  <c r="AJ63" i="3"/>
  <c r="AZ63" i="3" s="1"/>
  <c r="BA63" i="3" s="1"/>
  <c r="AJ86" i="3"/>
  <c r="AT86" i="3" s="1"/>
  <c r="AU86" i="3" s="1"/>
  <c r="AJ91" i="3"/>
  <c r="AT91" i="3" s="1"/>
  <c r="AU91" i="3" s="1"/>
  <c r="AJ96" i="3"/>
  <c r="AN96" i="3" s="1"/>
  <c r="AO96" i="3" s="1"/>
  <c r="AI88" i="3"/>
  <c r="AR88" i="3" s="1"/>
  <c r="AS88" i="3" s="1"/>
  <c r="AI97" i="3"/>
  <c r="AL97" i="3" s="1"/>
  <c r="AM97" i="3" s="1"/>
  <c r="AJ97" i="3"/>
  <c r="AN97" i="3" s="1"/>
  <c r="AO97" i="3" s="1"/>
  <c r="H116" i="1"/>
  <c r="AI65" i="3"/>
  <c r="AR65" i="3" s="1"/>
  <c r="AS65" i="3" s="1"/>
  <c r="AJ88" i="3"/>
  <c r="AZ88" i="3" s="1"/>
  <c r="BA88" i="3" s="1"/>
  <c r="AJ87" i="3"/>
  <c r="AC87" i="3"/>
  <c r="AE87" i="3" s="1"/>
  <c r="AI89" i="3"/>
  <c r="AR89" i="3" s="1"/>
  <c r="AS89" i="3" s="1"/>
  <c r="AJ85" i="3"/>
  <c r="AC85" i="3"/>
  <c r="AE85" i="3" s="1"/>
  <c r="AI87" i="3"/>
  <c r="AB87" i="3"/>
  <c r="AD87" i="3" s="1"/>
  <c r="AI90" i="3"/>
  <c r="AR90" i="3" s="1"/>
  <c r="AS90" i="3" s="1"/>
  <c r="AI85" i="3"/>
  <c r="AX85" i="3" s="1"/>
  <c r="AY85" i="3" s="1"/>
  <c r="AI91" i="3"/>
  <c r="AB91" i="3"/>
  <c r="AD91" i="3" s="1"/>
  <c r="AJ89" i="3"/>
  <c r="AZ89" i="3" s="1"/>
  <c r="BA89" i="3" s="1"/>
  <c r="AJ90" i="3"/>
  <c r="AC90" i="3"/>
  <c r="AE90" i="3" s="1"/>
  <c r="AI86" i="3"/>
  <c r="AX86" i="3" s="1"/>
  <c r="AY86" i="3" s="1"/>
  <c r="AI63" i="3"/>
  <c r="AL63" i="3" s="1"/>
  <c r="AM63" i="3" s="1"/>
  <c r="AI43" i="3"/>
  <c r="AR43" i="3" s="1"/>
  <c r="AS43" i="3" s="1"/>
  <c r="AJ62" i="3"/>
  <c r="AT62" i="3" s="1"/>
  <c r="AU62" i="3" s="1"/>
  <c r="AJ70" i="3"/>
  <c r="AT70" i="3" s="1"/>
  <c r="AU70" i="3" s="1"/>
  <c r="AJ72" i="3"/>
  <c r="AT72" i="3" s="1"/>
  <c r="AU72" i="3" s="1"/>
  <c r="AJ71" i="3"/>
  <c r="AN71" i="3" s="1"/>
  <c r="AO71" i="3" s="1"/>
  <c r="AN63" i="3"/>
  <c r="AO63" i="3" s="1"/>
  <c r="AT63" i="3"/>
  <c r="AU63" i="3" s="1"/>
  <c r="AI68" i="3"/>
  <c r="AB68" i="3"/>
  <c r="AD68" i="3" s="1"/>
  <c r="AI72" i="3"/>
  <c r="AB72" i="3"/>
  <c r="AD72" i="3" s="1"/>
  <c r="AJ67" i="3"/>
  <c r="AN67" i="3" s="1"/>
  <c r="AO67" i="3" s="1"/>
  <c r="AJ65" i="3"/>
  <c r="AC65" i="3"/>
  <c r="AE65" i="3" s="1"/>
  <c r="AJ64" i="3"/>
  <c r="AT64" i="3" s="1"/>
  <c r="AU64" i="3" s="1"/>
  <c r="AI67" i="3"/>
  <c r="AL67" i="3" s="1"/>
  <c r="AM67" i="3" s="1"/>
  <c r="AI70" i="3"/>
  <c r="AL70" i="3" s="1"/>
  <c r="AM70" i="3" s="1"/>
  <c r="AJ66" i="3"/>
  <c r="AN66" i="3" s="1"/>
  <c r="AO66" i="3" s="1"/>
  <c r="AI71" i="3"/>
  <c r="AX71" i="3" s="1"/>
  <c r="AY71" i="3" s="1"/>
  <c r="AI62" i="3"/>
  <c r="AL62" i="3" s="1"/>
  <c r="AM62" i="3" s="1"/>
  <c r="AI66" i="3"/>
  <c r="AX66" i="3" s="1"/>
  <c r="AY66" i="3" s="1"/>
  <c r="AI64" i="3"/>
  <c r="AB64" i="3"/>
  <c r="AD64" i="3" s="1"/>
  <c r="AI69" i="3"/>
  <c r="AR69" i="3" s="1"/>
  <c r="AS69" i="3" s="1"/>
  <c r="AJ68" i="3"/>
  <c r="AZ68" i="3" s="1"/>
  <c r="BA68" i="3" s="1"/>
  <c r="AJ69" i="3"/>
  <c r="AC69" i="3"/>
  <c r="AE69" i="3" s="1"/>
  <c r="AJ45" i="3"/>
  <c r="AN45" i="3" s="1"/>
  <c r="AO45" i="3" s="1"/>
  <c r="AJ43" i="3"/>
  <c r="AN43" i="3" s="1"/>
  <c r="AO43" i="3" s="1"/>
  <c r="AI44" i="3"/>
  <c r="AR44" i="3" s="1"/>
  <c r="AS44" i="3" s="1"/>
  <c r="AJ54" i="3"/>
  <c r="AN54" i="3" s="1"/>
  <c r="AO54" i="3" s="1"/>
  <c r="AI53" i="3"/>
  <c r="AL53" i="3" s="1"/>
  <c r="AM53" i="3" s="1"/>
  <c r="AJ41" i="3"/>
  <c r="AN41" i="3" s="1"/>
  <c r="AO41" i="3" s="1"/>
  <c r="AI45" i="3"/>
  <c r="AB45" i="3"/>
  <c r="AD45" i="3" s="1"/>
  <c r="Z56" i="3"/>
  <c r="AB55" i="3"/>
  <c r="AD55" i="3" s="1"/>
  <c r="AC55" i="3"/>
  <c r="AE55" i="3" s="1"/>
  <c r="X55" i="3"/>
  <c r="AI41" i="3"/>
  <c r="AB41" i="3"/>
  <c r="AD41" i="3" s="1"/>
  <c r="AJ40" i="3"/>
  <c r="AC40" i="3"/>
  <c r="AE40" i="3" s="1"/>
  <c r="AI40" i="3"/>
  <c r="AR40" i="3" s="1"/>
  <c r="AS40" i="3" s="1"/>
  <c r="AJ53" i="3"/>
  <c r="AC53" i="3"/>
  <c r="AE53" i="3" s="1"/>
  <c r="AJ44" i="3"/>
  <c r="AC44" i="3"/>
  <c r="AE44" i="3" s="1"/>
  <c r="AI59" i="3"/>
  <c r="AI42" i="3"/>
  <c r="AX42" i="3" s="1"/>
  <c r="AY42" i="3" s="1"/>
  <c r="AB54" i="3"/>
  <c r="AD54" i="3" s="1"/>
  <c r="AJ42" i="3"/>
  <c r="AC42" i="3"/>
  <c r="AE42" i="3" s="1"/>
  <c r="AI37" i="3"/>
  <c r="AL37" i="3" s="1"/>
  <c r="AM37" i="3" s="1"/>
  <c r="AI36" i="3"/>
  <c r="AL36" i="3" s="1"/>
  <c r="AM36" i="3" s="1"/>
  <c r="AJ37" i="3"/>
  <c r="AT37" i="3" s="1"/>
  <c r="AU37" i="3" s="1"/>
  <c r="AJ36" i="3"/>
  <c r="AC36" i="3"/>
  <c r="AE36" i="3" s="1"/>
  <c r="AT28" i="3"/>
  <c r="AU28" i="3" s="1"/>
  <c r="AX28" i="3"/>
  <c r="AY28" i="3" s="1"/>
  <c r="H110" i="1"/>
  <c r="H93" i="7" s="1"/>
  <c r="AE68" i="1"/>
  <c r="AD70" i="1" s="1"/>
  <c r="AD85" i="1" s="1"/>
  <c r="AN76" i="7"/>
  <c r="AN77" i="7" s="1"/>
  <c r="AO77" i="7" s="1"/>
  <c r="AT95" i="3"/>
  <c r="AU95" i="3" s="1"/>
  <c r="AN95" i="3"/>
  <c r="AO95" i="3" s="1"/>
  <c r="AE73" i="3"/>
  <c r="AZ73" i="3" s="1"/>
  <c r="BA73" i="3" s="1"/>
  <c r="AC48" i="3"/>
  <c r="AE48" i="3" s="1"/>
  <c r="AZ48" i="3" s="1"/>
  <c r="BA48" i="3" s="1"/>
  <c r="AJ98" i="3"/>
  <c r="AC98" i="3"/>
  <c r="AE98" i="3" s="1"/>
  <c r="AE46" i="3"/>
  <c r="AJ30" i="3"/>
  <c r="AC30" i="3"/>
  <c r="AJ47" i="3"/>
  <c r="AC47" i="3"/>
  <c r="AJ29" i="3"/>
  <c r="AC29" i="3"/>
  <c r="AJ84" i="3"/>
  <c r="AC84" i="3"/>
  <c r="AE84" i="3" s="1"/>
  <c r="AC76" i="3"/>
  <c r="AE76" i="3" s="1"/>
  <c r="AZ76" i="3" s="1"/>
  <c r="BA76" i="3" s="1"/>
  <c r="AJ93" i="3"/>
  <c r="AC93" i="3"/>
  <c r="AE93" i="3" s="1"/>
  <c r="AC49" i="3"/>
  <c r="AE49" i="3" s="1"/>
  <c r="AZ49" i="3" s="1"/>
  <c r="BA49" i="3" s="1"/>
  <c r="AC32" i="3"/>
  <c r="AE32" i="3" s="1"/>
  <c r="AZ32" i="3" s="1"/>
  <c r="BA32" i="3" s="1"/>
  <c r="AJ94" i="3"/>
  <c r="AC94" i="3"/>
  <c r="AE94" i="3" s="1"/>
  <c r="AZ95" i="3"/>
  <c r="BA95" i="3" s="1"/>
  <c r="AC31" i="3"/>
  <c r="AE31" i="3" s="1"/>
  <c r="AJ74" i="3"/>
  <c r="AC74" i="3"/>
  <c r="AJ92" i="3"/>
  <c r="AC92" i="3"/>
  <c r="AE92" i="3" s="1"/>
  <c r="AC75" i="3"/>
  <c r="AE75" i="3" s="1"/>
  <c r="AZ75" i="3" s="1"/>
  <c r="BA75" i="3" s="1"/>
  <c r="AK45" i="6"/>
  <c r="AJ45" i="6"/>
  <c r="AJ49" i="6" s="1"/>
  <c r="AJ46" i="6"/>
  <c r="J55" i="6"/>
  <c r="M53" i="6"/>
  <c r="J56" i="6"/>
  <c r="M54" i="6"/>
  <c r="J66" i="6"/>
  <c r="AK46" i="6" s="1"/>
  <c r="AK47" i="6" s="1"/>
  <c r="M62" i="6"/>
  <c r="AT76" i="7"/>
  <c r="AS77" i="7"/>
  <c r="AS78" i="7" s="1"/>
  <c r="AT78" i="7" s="1"/>
  <c r="S56" i="3"/>
  <c r="T42" i="1"/>
  <c r="D50" i="3"/>
  <c r="AR95" i="3"/>
  <c r="AS95" i="3" s="1"/>
  <c r="AX73" i="3"/>
  <c r="AY73" i="3" s="1"/>
  <c r="AX46" i="3"/>
  <c r="AY46" i="3" s="1"/>
  <c r="AX95" i="3"/>
  <c r="AY95" i="3" s="1"/>
  <c r="AR46" i="3"/>
  <c r="AS46" i="3" s="1"/>
  <c r="AR73" i="3"/>
  <c r="AS73" i="3" s="1"/>
  <c r="AB48" i="3"/>
  <c r="AD48" i="3" s="1"/>
  <c r="AX48" i="3" s="1"/>
  <c r="AY48" i="3" s="1"/>
  <c r="AI94" i="3"/>
  <c r="AR94" i="3" s="1"/>
  <c r="AS94" i="3" s="1"/>
  <c r="AI98" i="3"/>
  <c r="AI92" i="3"/>
  <c r="AL92" i="3" s="1"/>
  <c r="AM92" i="3" s="1"/>
  <c r="AI93" i="3"/>
  <c r="AR93" i="3" s="1"/>
  <c r="AS93" i="3" s="1"/>
  <c r="AI75" i="3"/>
  <c r="AL75" i="3" s="1"/>
  <c r="AM75" i="3" s="1"/>
  <c r="AI30" i="3"/>
  <c r="AR30" i="3" s="1"/>
  <c r="AS30" i="3" s="1"/>
  <c r="AB31" i="3"/>
  <c r="AD31" i="3" s="1"/>
  <c r="AX31" i="3" s="1"/>
  <c r="AY31" i="3" s="1"/>
  <c r="AC50" i="3"/>
  <c r="AB49" i="3"/>
  <c r="AD49" i="3" s="1"/>
  <c r="AX49" i="3" s="1"/>
  <c r="AY49" i="3" s="1"/>
  <c r="X49" i="3"/>
  <c r="AC33" i="3"/>
  <c r="AB32" i="3"/>
  <c r="AD32" i="3" s="1"/>
  <c r="AX32" i="3" s="1"/>
  <c r="AY32" i="3" s="1"/>
  <c r="X32" i="3"/>
  <c r="AI29" i="3"/>
  <c r="AL29" i="3" s="1"/>
  <c r="AM29" i="3" s="1"/>
  <c r="AI47" i="3"/>
  <c r="AL47" i="3" s="1"/>
  <c r="AM47" i="3" s="1"/>
  <c r="AI74" i="3"/>
  <c r="AL74" i="3" s="1"/>
  <c r="AM74" i="3" s="1"/>
  <c r="AI84" i="3"/>
  <c r="AL84" i="3" s="1"/>
  <c r="AM84" i="3" s="1"/>
  <c r="Z77" i="3"/>
  <c r="AC77" i="3" s="1"/>
  <c r="AB76" i="3"/>
  <c r="AD76" i="3" s="1"/>
  <c r="AX76" i="3" s="1"/>
  <c r="AY76" i="3" s="1"/>
  <c r="X76" i="3"/>
  <c r="AN91" i="3" l="1"/>
  <c r="AO91" i="3" s="1"/>
  <c r="AR96" i="3"/>
  <c r="AS96" i="3" s="1"/>
  <c r="AL96" i="3"/>
  <c r="AM96" i="3" s="1"/>
  <c r="AZ86" i="3"/>
  <c r="BA86" i="3" s="1"/>
  <c r="AN86" i="3"/>
  <c r="AO86" i="3" s="1"/>
  <c r="AX88" i="3"/>
  <c r="AY88" i="3" s="1"/>
  <c r="AN70" i="3"/>
  <c r="AO70" i="3" s="1"/>
  <c r="AT96" i="3"/>
  <c r="AU96" i="3" s="1"/>
  <c r="AZ70" i="3"/>
  <c r="BA70" i="3" s="1"/>
  <c r="AZ91" i="3"/>
  <c r="BA91" i="3" s="1"/>
  <c r="AR97" i="3"/>
  <c r="AS97" i="3" s="1"/>
  <c r="AX97" i="3"/>
  <c r="AY97" i="3" s="1"/>
  <c r="AZ96" i="3"/>
  <c r="BA96" i="3" s="1"/>
  <c r="AL88" i="3"/>
  <c r="AM88" i="3" s="1"/>
  <c r="AT97" i="3"/>
  <c r="AU97" i="3" s="1"/>
  <c r="AZ97" i="3"/>
  <c r="BA97" i="3" s="1"/>
  <c r="AN62" i="3"/>
  <c r="AO62" i="3" s="1"/>
  <c r="AZ62" i="3"/>
  <c r="BA62" i="3" s="1"/>
  <c r="AN88" i="3"/>
  <c r="AO88" i="3" s="1"/>
  <c r="AL65" i="3"/>
  <c r="AM65" i="3" s="1"/>
  <c r="AX65" i="3"/>
  <c r="AY65" i="3" s="1"/>
  <c r="AL43" i="3"/>
  <c r="AM43" i="3" s="1"/>
  <c r="AT88" i="3"/>
  <c r="AU88" i="3" s="1"/>
  <c r="AT45" i="3"/>
  <c r="AU45" i="3" s="1"/>
  <c r="AX43" i="3"/>
  <c r="AY43" i="3" s="1"/>
  <c r="AX63" i="3"/>
  <c r="AY63" i="3" s="1"/>
  <c r="AL90" i="3"/>
  <c r="AM90" i="3" s="1"/>
  <c r="AR63" i="3"/>
  <c r="AS63" i="3" s="1"/>
  <c r="AR86" i="3"/>
  <c r="AS86" i="3" s="1"/>
  <c r="AZ45" i="3"/>
  <c r="BA45" i="3" s="1"/>
  <c r="AR91" i="3"/>
  <c r="AS91" i="3" s="1"/>
  <c r="AX91" i="3"/>
  <c r="AY91" i="3" s="1"/>
  <c r="AL91" i="3"/>
  <c r="AM91" i="3" s="1"/>
  <c r="AL86" i="3"/>
  <c r="AM86" i="3" s="1"/>
  <c r="AR87" i="3"/>
  <c r="AS87" i="3" s="1"/>
  <c r="AL87" i="3"/>
  <c r="AM87" i="3" s="1"/>
  <c r="AX87" i="3"/>
  <c r="AY87" i="3" s="1"/>
  <c r="AX90" i="3"/>
  <c r="AY90" i="3" s="1"/>
  <c r="AL89" i="3"/>
  <c r="AM89" i="3" s="1"/>
  <c r="AX89" i="3"/>
  <c r="AY89" i="3" s="1"/>
  <c r="AZ85" i="3"/>
  <c r="BA85" i="3" s="1"/>
  <c r="AT85" i="3"/>
  <c r="AU85" i="3" s="1"/>
  <c r="AN85" i="3"/>
  <c r="AO85" i="3" s="1"/>
  <c r="AR85" i="3"/>
  <c r="AS85" i="3" s="1"/>
  <c r="AL85" i="3"/>
  <c r="AM85" i="3" s="1"/>
  <c r="AT89" i="3"/>
  <c r="AU89" i="3" s="1"/>
  <c r="AN89" i="3"/>
  <c r="AO89" i="3" s="1"/>
  <c r="AT90" i="3"/>
  <c r="AU90" i="3" s="1"/>
  <c r="AZ90" i="3"/>
  <c r="BA90" i="3" s="1"/>
  <c r="AN90" i="3"/>
  <c r="AO90" i="3" s="1"/>
  <c r="AZ87" i="3"/>
  <c r="BA87" i="3" s="1"/>
  <c r="AN87" i="3"/>
  <c r="AO87" i="3" s="1"/>
  <c r="AT87" i="3"/>
  <c r="AU87" i="3" s="1"/>
  <c r="AX37" i="3"/>
  <c r="AY37" i="3" s="1"/>
  <c r="AR37" i="3"/>
  <c r="AS37" i="3" s="1"/>
  <c r="AT71" i="3"/>
  <c r="AU71" i="3" s="1"/>
  <c r="AZ71" i="3"/>
  <c r="BA71" i="3" s="1"/>
  <c r="AZ72" i="3"/>
  <c r="BA72" i="3" s="1"/>
  <c r="AN72" i="3"/>
  <c r="AO72" i="3" s="1"/>
  <c r="AN64" i="3"/>
  <c r="AO64" i="3" s="1"/>
  <c r="AT66" i="3"/>
  <c r="AU66" i="3" s="1"/>
  <c r="AR62" i="3"/>
  <c r="AS62" i="3" s="1"/>
  <c r="AZ64" i="3"/>
  <c r="BA64" i="3" s="1"/>
  <c r="AT43" i="3"/>
  <c r="AU43" i="3" s="1"/>
  <c r="AZ66" i="3"/>
  <c r="BA66" i="3" s="1"/>
  <c r="AX62" i="3"/>
  <c r="AY62" i="3" s="1"/>
  <c r="AX68" i="3"/>
  <c r="AY68" i="3" s="1"/>
  <c r="AL68" i="3"/>
  <c r="AM68" i="3" s="1"/>
  <c r="AR68" i="3"/>
  <c r="AS68" i="3" s="1"/>
  <c r="AT65" i="3"/>
  <c r="AU65" i="3" s="1"/>
  <c r="AN65" i="3"/>
  <c r="AO65" i="3" s="1"/>
  <c r="AZ65" i="3"/>
  <c r="BA65" i="3" s="1"/>
  <c r="AR66" i="3"/>
  <c r="AS66" i="3" s="1"/>
  <c r="AR72" i="3"/>
  <c r="AS72" i="3" s="1"/>
  <c r="AL72" i="3"/>
  <c r="AM72" i="3" s="1"/>
  <c r="AX72" i="3"/>
  <c r="AY72" i="3" s="1"/>
  <c r="AX67" i="3"/>
  <c r="AY67" i="3" s="1"/>
  <c r="AL66" i="3"/>
  <c r="AM66" i="3" s="1"/>
  <c r="AR64" i="3"/>
  <c r="AS64" i="3" s="1"/>
  <c r="AX64" i="3"/>
  <c r="AY64" i="3" s="1"/>
  <c r="AL64" i="3"/>
  <c r="AM64" i="3" s="1"/>
  <c r="AX69" i="3"/>
  <c r="AY69" i="3" s="1"/>
  <c r="AX70" i="3"/>
  <c r="AY70" i="3" s="1"/>
  <c r="AR67" i="3"/>
  <c r="AS67" i="3" s="1"/>
  <c r="AR71" i="3"/>
  <c r="AS71" i="3" s="1"/>
  <c r="AT69" i="3"/>
  <c r="AU69" i="3" s="1"/>
  <c r="AZ69" i="3"/>
  <c r="BA69" i="3" s="1"/>
  <c r="AN69" i="3"/>
  <c r="AO69" i="3" s="1"/>
  <c r="AL69" i="3"/>
  <c r="AM69" i="3" s="1"/>
  <c r="AR70" i="3"/>
  <c r="AS70" i="3" s="1"/>
  <c r="AL71" i="3"/>
  <c r="AM71" i="3" s="1"/>
  <c r="AT67" i="3"/>
  <c r="AU67" i="3" s="1"/>
  <c r="AZ43" i="3"/>
  <c r="BA43" i="3" s="1"/>
  <c r="AT68" i="3"/>
  <c r="AU68" i="3" s="1"/>
  <c r="AZ67" i="3"/>
  <c r="BA67" i="3" s="1"/>
  <c r="AN68" i="3"/>
  <c r="AO68" i="3" s="1"/>
  <c r="AX44" i="3"/>
  <c r="AY44" i="3" s="1"/>
  <c r="AL44" i="3"/>
  <c r="AM44" i="3" s="1"/>
  <c r="AT54" i="3"/>
  <c r="AU54" i="3" s="1"/>
  <c r="AZ54" i="3"/>
  <c r="BA54" i="3" s="1"/>
  <c r="AR53" i="3"/>
  <c r="AS53" i="3" s="1"/>
  <c r="AX53" i="3"/>
  <c r="AY53" i="3" s="1"/>
  <c r="AT41" i="3"/>
  <c r="AU41" i="3" s="1"/>
  <c r="AX40" i="3"/>
  <c r="AY40" i="3" s="1"/>
  <c r="AZ41" i="3"/>
  <c r="BA41" i="3" s="1"/>
  <c r="AZ37" i="3"/>
  <c r="BA37" i="3" s="1"/>
  <c r="AT53" i="3"/>
  <c r="AU53" i="3" s="1"/>
  <c r="AN53" i="3"/>
  <c r="AO53" i="3" s="1"/>
  <c r="AZ53" i="3"/>
  <c r="BA53" i="3" s="1"/>
  <c r="AT40" i="3"/>
  <c r="AU40" i="3" s="1"/>
  <c r="AZ40" i="3"/>
  <c r="BA40" i="3" s="1"/>
  <c r="AN40" i="3"/>
  <c r="AO40" i="3" s="1"/>
  <c r="AR42" i="3"/>
  <c r="AS42" i="3" s="1"/>
  <c r="AR54" i="3"/>
  <c r="AS54" i="3" s="1"/>
  <c r="AL54" i="3"/>
  <c r="AM54" i="3" s="1"/>
  <c r="AX54" i="3"/>
  <c r="AY54" i="3" s="1"/>
  <c r="AL42" i="3"/>
  <c r="AM42" i="3" s="1"/>
  <c r="AX41" i="3"/>
  <c r="AY41" i="3" s="1"/>
  <c r="AL41" i="3"/>
  <c r="AM41" i="3" s="1"/>
  <c r="AR41" i="3"/>
  <c r="AS41" i="3" s="1"/>
  <c r="AN42" i="3"/>
  <c r="AO42" i="3" s="1"/>
  <c r="AT42" i="3"/>
  <c r="AU42" i="3" s="1"/>
  <c r="AZ42" i="3"/>
  <c r="BA42" i="3" s="1"/>
  <c r="AL40" i="3"/>
  <c r="AM40" i="3" s="1"/>
  <c r="AX45" i="3"/>
  <c r="AY45" i="3" s="1"/>
  <c r="AR45" i="3"/>
  <c r="AS45" i="3" s="1"/>
  <c r="AL45" i="3"/>
  <c r="AM45" i="3" s="1"/>
  <c r="AZ55" i="3"/>
  <c r="BA55" i="3" s="1"/>
  <c r="AN55" i="3"/>
  <c r="AO55" i="3" s="1"/>
  <c r="AT55" i="3"/>
  <c r="AU55" i="3" s="1"/>
  <c r="AL55" i="3"/>
  <c r="AM55" i="3" s="1"/>
  <c r="AX55" i="3"/>
  <c r="AY55" i="3" s="1"/>
  <c r="AR55" i="3"/>
  <c r="AS55" i="3" s="1"/>
  <c r="AT44" i="3"/>
  <c r="AU44" i="3" s="1"/>
  <c r="AZ44" i="3"/>
  <c r="BA44" i="3" s="1"/>
  <c r="AN44" i="3"/>
  <c r="AO44" i="3" s="1"/>
  <c r="Z57" i="3"/>
  <c r="Z58" i="3" s="1"/>
  <c r="Z59" i="3" s="1"/>
  <c r="AC56" i="3"/>
  <c r="AE56" i="3" s="1"/>
  <c r="AB56" i="3"/>
  <c r="AD56" i="3" s="1"/>
  <c r="X56" i="3"/>
  <c r="AX36" i="3"/>
  <c r="AY36" i="3" s="1"/>
  <c r="AR36" i="3"/>
  <c r="AS36" i="3" s="1"/>
  <c r="AN37" i="3"/>
  <c r="AO37" i="3" s="1"/>
  <c r="AT36" i="3"/>
  <c r="AU36" i="3" s="1"/>
  <c r="AZ36" i="3"/>
  <c r="BA36" i="3" s="1"/>
  <c r="AN36" i="3"/>
  <c r="AO36" i="3" s="1"/>
  <c r="AL28" i="3"/>
  <c r="AM28" i="3" s="1"/>
  <c r="AN28" i="3"/>
  <c r="AO28" i="3" s="1"/>
  <c r="AE70" i="1"/>
  <c r="AF70" i="1" s="1"/>
  <c r="AD71" i="1"/>
  <c r="AE71" i="1" s="1"/>
  <c r="AF71" i="1" s="1"/>
  <c r="AG71" i="1" s="1"/>
  <c r="AN87" i="7"/>
  <c r="AO76" i="7"/>
  <c r="AT73" i="3"/>
  <c r="AU73" i="3" s="1"/>
  <c r="AT98" i="3"/>
  <c r="AU98" i="3" s="1"/>
  <c r="AT94" i="3"/>
  <c r="AU94" i="3" s="1"/>
  <c r="AN48" i="3"/>
  <c r="AO48" i="3" s="1"/>
  <c r="AN98" i="3"/>
  <c r="AO98" i="3" s="1"/>
  <c r="AN73" i="3"/>
  <c r="AO73" i="3" s="1"/>
  <c r="AN84" i="3"/>
  <c r="AO84" i="3" s="1"/>
  <c r="AN94" i="3"/>
  <c r="AO94" i="3" s="1"/>
  <c r="AT84" i="3"/>
  <c r="AU84" i="3" s="1"/>
  <c r="AE29" i="3"/>
  <c r="AT29" i="3" s="1"/>
  <c r="AU29" i="3" s="1"/>
  <c r="AT93" i="3"/>
  <c r="AU93" i="3" s="1"/>
  <c r="AT75" i="3"/>
  <c r="AU75" i="3" s="1"/>
  <c r="AN75" i="3"/>
  <c r="AO75" i="3" s="1"/>
  <c r="AT48" i="3"/>
  <c r="AU48" i="3" s="1"/>
  <c r="AN93" i="3"/>
  <c r="AO93" i="3" s="1"/>
  <c r="AT92" i="3"/>
  <c r="AU92" i="3" s="1"/>
  <c r="AN92" i="3"/>
  <c r="AO92" i="3" s="1"/>
  <c r="AZ31" i="3"/>
  <c r="BA31" i="3" s="1"/>
  <c r="AN31" i="3"/>
  <c r="AO31" i="3" s="1"/>
  <c r="AT31" i="3"/>
  <c r="AU31" i="3" s="1"/>
  <c r="AZ92" i="3"/>
  <c r="BA92" i="3" s="1"/>
  <c r="AE47" i="3"/>
  <c r="AZ93" i="3"/>
  <c r="BA93" i="3" s="1"/>
  <c r="AE30" i="3"/>
  <c r="AE74" i="3"/>
  <c r="AZ84" i="3"/>
  <c r="BA84" i="3" s="1"/>
  <c r="AZ46" i="3"/>
  <c r="BA46" i="3" s="1"/>
  <c r="AN46" i="3"/>
  <c r="AO46" i="3" s="1"/>
  <c r="AT46" i="3"/>
  <c r="AU46" i="3" s="1"/>
  <c r="AZ94" i="3"/>
  <c r="BA94" i="3" s="1"/>
  <c r="AZ98" i="3"/>
  <c r="BA98" i="3" s="1"/>
  <c r="D13" i="5"/>
  <c r="D18" i="5" s="1"/>
  <c r="H58" i="7"/>
  <c r="H66" i="7" s="1"/>
  <c r="I71" i="7" s="1"/>
  <c r="AK48" i="6"/>
  <c r="AK49" i="6"/>
  <c r="H56" i="7"/>
  <c r="H41" i="1" s="1"/>
  <c r="J58" i="6"/>
  <c r="M56" i="6"/>
  <c r="J57" i="6"/>
  <c r="M55" i="6"/>
  <c r="AS79" i="7"/>
  <c r="AT79" i="7" s="1"/>
  <c r="AS87" i="7"/>
  <c r="AT77" i="7"/>
  <c r="AN78" i="7"/>
  <c r="AO78" i="7" s="1"/>
  <c r="AL98" i="3"/>
  <c r="AM98" i="3" s="1"/>
  <c r="AX84" i="3"/>
  <c r="AY84" i="3" s="1"/>
  <c r="AL93" i="3"/>
  <c r="AM93" i="3" s="1"/>
  <c r="AL94" i="3"/>
  <c r="AM94" i="3" s="1"/>
  <c r="AR75" i="3"/>
  <c r="AS75" i="3" s="1"/>
  <c r="AX29" i="3"/>
  <c r="AY29" i="3" s="1"/>
  <c r="AX94" i="3"/>
  <c r="AY94" i="3" s="1"/>
  <c r="AX75" i="3"/>
  <c r="AY75" i="3" s="1"/>
  <c r="AX47" i="3"/>
  <c r="AY47" i="3" s="1"/>
  <c r="AX98" i="3"/>
  <c r="AY98" i="3" s="1"/>
  <c r="AR98" i="3"/>
  <c r="AS98" i="3" s="1"/>
  <c r="AX74" i="3"/>
  <c r="AY74" i="3" s="1"/>
  <c r="AX93" i="3"/>
  <c r="AY93" i="3" s="1"/>
  <c r="AX92" i="3"/>
  <c r="AY92" i="3" s="1"/>
  <c r="AX30" i="3"/>
  <c r="AY30" i="3" s="1"/>
  <c r="AL32" i="3"/>
  <c r="AM32" i="3" s="1"/>
  <c r="AR32" i="3"/>
  <c r="AS32" i="3" s="1"/>
  <c r="AR29" i="3"/>
  <c r="AS29" i="3" s="1"/>
  <c r="AL49" i="3"/>
  <c r="AM49" i="3" s="1"/>
  <c r="AR49" i="3"/>
  <c r="AS49" i="3" s="1"/>
  <c r="AN76" i="3"/>
  <c r="AO76" i="3" s="1"/>
  <c r="AT76" i="3"/>
  <c r="AU76" i="3" s="1"/>
  <c r="AL30" i="3"/>
  <c r="AM30" i="3" s="1"/>
  <c r="AN32" i="3"/>
  <c r="AO32" i="3" s="1"/>
  <c r="AT32" i="3"/>
  <c r="AU32" i="3" s="1"/>
  <c r="AR92" i="3"/>
  <c r="AS92" i="3" s="1"/>
  <c r="AR47" i="3"/>
  <c r="AS47" i="3" s="1"/>
  <c r="AN49" i="3"/>
  <c r="AO49" i="3" s="1"/>
  <c r="AT49" i="3"/>
  <c r="AU49" i="3" s="1"/>
  <c r="AL48" i="3"/>
  <c r="AM48" i="3" s="1"/>
  <c r="AR48" i="3"/>
  <c r="AS48" i="3" s="1"/>
  <c r="AL76" i="3"/>
  <c r="AM76" i="3" s="1"/>
  <c r="AR76" i="3"/>
  <c r="AS76" i="3" s="1"/>
  <c r="AL31" i="3"/>
  <c r="AM31" i="3" s="1"/>
  <c r="AR31" i="3"/>
  <c r="AS31" i="3" s="1"/>
  <c r="AR74" i="3"/>
  <c r="AS74" i="3" s="1"/>
  <c r="AR84" i="3"/>
  <c r="AS84" i="3" s="1"/>
  <c r="AC34" i="3"/>
  <c r="AE33" i="3"/>
  <c r="AZ33" i="3" s="1"/>
  <c r="BA33" i="3" s="1"/>
  <c r="AB33" i="3"/>
  <c r="AD33" i="3" s="1"/>
  <c r="AX33" i="3" s="1"/>
  <c r="AY33" i="3" s="1"/>
  <c r="X33" i="3"/>
  <c r="AC51" i="3"/>
  <c r="AE50" i="3"/>
  <c r="AZ50" i="3" s="1"/>
  <c r="BA50" i="3" s="1"/>
  <c r="AB50" i="3"/>
  <c r="AD50" i="3" s="1"/>
  <c r="AX50" i="3" s="1"/>
  <c r="AY50" i="3" s="1"/>
  <c r="X50" i="3"/>
  <c r="Z78" i="3"/>
  <c r="AC78" i="3" s="1"/>
  <c r="AB77" i="3"/>
  <c r="AD77" i="3" s="1"/>
  <c r="AX77" i="3" s="1"/>
  <c r="AY77" i="3" s="1"/>
  <c r="AE77" i="3"/>
  <c r="AZ77" i="3" s="1"/>
  <c r="BA77" i="3" s="1"/>
  <c r="X77" i="3"/>
  <c r="AH70" i="1" l="1"/>
  <c r="AG85" i="1"/>
  <c r="AR56" i="3"/>
  <c r="AS56" i="3" s="1"/>
  <c r="AL56" i="3"/>
  <c r="AM56" i="3" s="1"/>
  <c r="AX56" i="3"/>
  <c r="AY56" i="3" s="1"/>
  <c r="AN56" i="3"/>
  <c r="AO56" i="3" s="1"/>
  <c r="AZ56" i="3"/>
  <c r="BA56" i="3" s="1"/>
  <c r="AT56" i="3"/>
  <c r="AU56" i="3" s="1"/>
  <c r="Z60" i="3"/>
  <c r="AC59" i="3"/>
  <c r="AE59" i="3" s="1"/>
  <c r="X59" i="3"/>
  <c r="AB59" i="3"/>
  <c r="AD59" i="3" s="1"/>
  <c r="AH71" i="1"/>
  <c r="AD72" i="1"/>
  <c r="AN88" i="7"/>
  <c r="AN89" i="7" s="1"/>
  <c r="AZ29" i="3"/>
  <c r="BA29" i="3" s="1"/>
  <c r="AN29" i="3"/>
  <c r="AO29" i="3" s="1"/>
  <c r="AZ47" i="3"/>
  <c r="BA47" i="3" s="1"/>
  <c r="AN47" i="3"/>
  <c r="AO47" i="3" s="1"/>
  <c r="AT47" i="3"/>
  <c r="AU47" i="3" s="1"/>
  <c r="AZ30" i="3"/>
  <c r="BA30" i="3" s="1"/>
  <c r="AN30" i="3"/>
  <c r="AO30" i="3" s="1"/>
  <c r="AT30" i="3"/>
  <c r="AU30" i="3" s="1"/>
  <c r="AZ74" i="3"/>
  <c r="BA74" i="3" s="1"/>
  <c r="AN74" i="3"/>
  <c r="AO74" i="3" s="1"/>
  <c r="AT74" i="3"/>
  <c r="AU74" i="3" s="1"/>
  <c r="AJ52" i="6"/>
  <c r="AJ53" i="6" s="1"/>
  <c r="AK53" i="6"/>
  <c r="AK55" i="6" s="1"/>
  <c r="H59" i="7"/>
  <c r="H68" i="7" s="1"/>
  <c r="H69" i="7" s="1"/>
  <c r="H43" i="1"/>
  <c r="J59" i="6"/>
  <c r="M59" i="6" s="1"/>
  <c r="M57" i="6"/>
  <c r="J60" i="6"/>
  <c r="M60" i="6" s="1"/>
  <c r="M58" i="6"/>
  <c r="AS88" i="7"/>
  <c r="AS89" i="7" s="1"/>
  <c r="AN79" i="7"/>
  <c r="AO79" i="7" s="1"/>
  <c r="AN77" i="3"/>
  <c r="AO77" i="3" s="1"/>
  <c r="AT77" i="3"/>
  <c r="AU77" i="3" s="1"/>
  <c r="AL50" i="3"/>
  <c r="AM50" i="3" s="1"/>
  <c r="AR50" i="3"/>
  <c r="AS50" i="3" s="1"/>
  <c r="AN50" i="3"/>
  <c r="AO50" i="3" s="1"/>
  <c r="AT50" i="3"/>
  <c r="AU50" i="3" s="1"/>
  <c r="AL33" i="3"/>
  <c r="AM33" i="3" s="1"/>
  <c r="AR33" i="3"/>
  <c r="AS33" i="3" s="1"/>
  <c r="AL77" i="3"/>
  <c r="AM77" i="3" s="1"/>
  <c r="AR77" i="3"/>
  <c r="AS77" i="3" s="1"/>
  <c r="AN33" i="3"/>
  <c r="AO33" i="3" s="1"/>
  <c r="AT33" i="3"/>
  <c r="AU33" i="3" s="1"/>
  <c r="AC52" i="3"/>
  <c r="AE51" i="3"/>
  <c r="AZ51" i="3" s="1"/>
  <c r="BA51" i="3" s="1"/>
  <c r="AB51" i="3"/>
  <c r="AD51" i="3" s="1"/>
  <c r="AX51" i="3" s="1"/>
  <c r="AY51" i="3" s="1"/>
  <c r="X51" i="3"/>
  <c r="Z79" i="3"/>
  <c r="AC79" i="3" s="1"/>
  <c r="AB78" i="3"/>
  <c r="AD78" i="3" s="1"/>
  <c r="AX78" i="3" s="1"/>
  <c r="AY78" i="3" s="1"/>
  <c r="AE78" i="3"/>
  <c r="AZ78" i="3" s="1"/>
  <c r="BA78" i="3" s="1"/>
  <c r="X78" i="3"/>
  <c r="AC35" i="3"/>
  <c r="AE34" i="3"/>
  <c r="AZ34" i="3" s="1"/>
  <c r="BA34" i="3" s="1"/>
  <c r="AB34" i="3"/>
  <c r="AD34" i="3" s="1"/>
  <c r="AX34" i="3" s="1"/>
  <c r="AY34" i="3" s="1"/>
  <c r="X34" i="3"/>
  <c r="AZ59" i="3" l="1"/>
  <c r="BA59" i="3" s="1"/>
  <c r="AT59" i="3"/>
  <c r="AU59" i="3" s="1"/>
  <c r="AN59" i="3"/>
  <c r="AO59" i="3" s="1"/>
  <c r="AX59" i="3"/>
  <c r="AY59" i="3" s="1"/>
  <c r="AL59" i="3"/>
  <c r="AM59" i="3" s="1"/>
  <c r="AR59" i="3"/>
  <c r="AS59" i="3" s="1"/>
  <c r="AK52" i="6"/>
  <c r="AK54" i="6" s="1"/>
  <c r="H44" i="1"/>
  <c r="H54" i="1"/>
  <c r="D28" i="3" s="1"/>
  <c r="H70" i="7"/>
  <c r="H52" i="1"/>
  <c r="H53" i="1"/>
  <c r="D23" i="6"/>
  <c r="AE72" i="1"/>
  <c r="AD73" i="1"/>
  <c r="AE73" i="1" s="1"/>
  <c r="H73" i="7"/>
  <c r="H57" i="1" s="1"/>
  <c r="H101" i="1" s="1"/>
  <c r="AL51" i="3"/>
  <c r="AM51" i="3" s="1"/>
  <c r="AR51" i="3"/>
  <c r="AS51" i="3" s="1"/>
  <c r="AN34" i="3"/>
  <c r="AO34" i="3" s="1"/>
  <c r="AT34" i="3"/>
  <c r="AU34" i="3" s="1"/>
  <c r="AN51" i="3"/>
  <c r="AO51" i="3" s="1"/>
  <c r="AT51" i="3"/>
  <c r="AU51" i="3" s="1"/>
  <c r="AL34" i="3"/>
  <c r="AM34" i="3" s="1"/>
  <c r="AR34" i="3"/>
  <c r="AS34" i="3" s="1"/>
  <c r="AN78" i="3"/>
  <c r="AO78" i="3" s="1"/>
  <c r="AT78" i="3"/>
  <c r="AU78" i="3" s="1"/>
  <c r="AL78" i="3"/>
  <c r="AM78" i="3" s="1"/>
  <c r="AR78" i="3"/>
  <c r="AS78" i="3" s="1"/>
  <c r="Z80" i="3"/>
  <c r="AC80" i="3" s="1"/>
  <c r="AB79" i="3"/>
  <c r="AD79" i="3" s="1"/>
  <c r="AX79" i="3" s="1"/>
  <c r="AY79" i="3" s="1"/>
  <c r="AE79" i="3"/>
  <c r="AZ79" i="3" s="1"/>
  <c r="BA79" i="3" s="1"/>
  <c r="X79" i="3"/>
  <c r="AE35" i="3"/>
  <c r="AZ35" i="3" s="1"/>
  <c r="BA35" i="3" s="1"/>
  <c r="AB35" i="3"/>
  <c r="AD35" i="3" s="1"/>
  <c r="AX35" i="3" s="1"/>
  <c r="AY35" i="3" s="1"/>
  <c r="X35" i="3"/>
  <c r="AC57" i="3"/>
  <c r="AE52" i="3"/>
  <c r="AZ52" i="3" s="1"/>
  <c r="BA52" i="3" s="1"/>
  <c r="AB52" i="3"/>
  <c r="AD52" i="3" s="1"/>
  <c r="AX52" i="3" s="1"/>
  <c r="AY52" i="3" s="1"/>
  <c r="X52" i="3"/>
  <c r="L61" i="6" l="1"/>
  <c r="I67" i="6" s="1"/>
  <c r="AE3" i="6"/>
  <c r="AE2" i="6" s="1"/>
  <c r="AE4" i="6"/>
  <c r="AE5" i="6" s="1"/>
  <c r="H103" i="1"/>
  <c r="H86" i="7"/>
  <c r="AC38" i="3"/>
  <c r="AE38" i="3" s="1"/>
  <c r="AZ38" i="3" s="1"/>
  <c r="BA38" i="3" s="1"/>
  <c r="AB38" i="3"/>
  <c r="AD38" i="3" s="1"/>
  <c r="AX38" i="3" s="1"/>
  <c r="AY38" i="3" s="1"/>
  <c r="H71" i="7"/>
  <c r="H107" i="1"/>
  <c r="AJ54" i="6"/>
  <c r="AJ55" i="6" s="1"/>
  <c r="Y4" i="6"/>
  <c r="AM3" i="6"/>
  <c r="AM2" i="6"/>
  <c r="AM5" i="6"/>
  <c r="AM4" i="6"/>
  <c r="AJ47" i="6"/>
  <c r="AJ48" i="6" s="1"/>
  <c r="P5" i="6"/>
  <c r="Y5" i="6" s="1"/>
  <c r="Y8" i="6" s="1"/>
  <c r="Y10" i="6" s="1"/>
  <c r="P4" i="6"/>
  <c r="P3" i="6"/>
  <c r="P6" i="6"/>
  <c r="S6" i="6" s="1"/>
  <c r="S7" i="6" s="1"/>
  <c r="AE81" i="1"/>
  <c r="AF73" i="1"/>
  <c r="AG73" i="1" s="1"/>
  <c r="AF72" i="1"/>
  <c r="H72" i="7"/>
  <c r="H55" i="1"/>
  <c r="H73" i="1" s="1"/>
  <c r="D16" i="6"/>
  <c r="D22" i="6"/>
  <c r="I82" i="6" s="1"/>
  <c r="I96" i="6"/>
  <c r="L59" i="6"/>
  <c r="L58" i="6"/>
  <c r="L54" i="6"/>
  <c r="L45" i="6"/>
  <c r="L60" i="6"/>
  <c r="L42" i="6"/>
  <c r="L56" i="6"/>
  <c r="L57" i="6"/>
  <c r="L53" i="6"/>
  <c r="L40" i="6"/>
  <c r="L46" i="6"/>
  <c r="L52" i="6"/>
  <c r="L62" i="6"/>
  <c r="L55" i="6"/>
  <c r="L48" i="6"/>
  <c r="L43" i="6"/>
  <c r="L47" i="6"/>
  <c r="L51" i="6"/>
  <c r="L41" i="6"/>
  <c r="L50" i="6"/>
  <c r="L49" i="6"/>
  <c r="L44" i="6"/>
  <c r="L39" i="6"/>
  <c r="M73" i="6" s="1"/>
  <c r="M77" i="6" s="1"/>
  <c r="AN79" i="3"/>
  <c r="AO79" i="3" s="1"/>
  <c r="AT79" i="3"/>
  <c r="AU79" i="3" s="1"/>
  <c r="AL52" i="3"/>
  <c r="AM52" i="3" s="1"/>
  <c r="AR52" i="3"/>
  <c r="AS52" i="3" s="1"/>
  <c r="AN52" i="3"/>
  <c r="AO52" i="3" s="1"/>
  <c r="AT52" i="3"/>
  <c r="AU52" i="3" s="1"/>
  <c r="AL79" i="3"/>
  <c r="AM79" i="3" s="1"/>
  <c r="AR79" i="3"/>
  <c r="AS79" i="3" s="1"/>
  <c r="AN35" i="3"/>
  <c r="AO35" i="3" s="1"/>
  <c r="AT35" i="3"/>
  <c r="AU35" i="3" s="1"/>
  <c r="AL35" i="3"/>
  <c r="AM35" i="3" s="1"/>
  <c r="AR35" i="3"/>
  <c r="AS35" i="3" s="1"/>
  <c r="X38" i="3"/>
  <c r="AC58" i="3"/>
  <c r="AB57" i="3"/>
  <c r="AD57" i="3" s="1"/>
  <c r="AX57" i="3" s="1"/>
  <c r="AY57" i="3" s="1"/>
  <c r="AE57" i="3"/>
  <c r="AZ57" i="3" s="1"/>
  <c r="BA57" i="3" s="1"/>
  <c r="X57" i="3"/>
  <c r="Z81" i="3"/>
  <c r="AC81" i="3" s="1"/>
  <c r="AB80" i="3"/>
  <c r="AD80" i="3" s="1"/>
  <c r="AX80" i="3" s="1"/>
  <c r="AY80" i="3" s="1"/>
  <c r="AE80" i="3"/>
  <c r="AZ80" i="3" s="1"/>
  <c r="BA80" i="3" s="1"/>
  <c r="X80" i="3"/>
  <c r="H108" i="1" l="1"/>
  <c r="H91" i="7" s="1"/>
  <c r="K91" i="7" s="1"/>
  <c r="H89" i="7"/>
  <c r="K103" i="1"/>
  <c r="H88" i="7"/>
  <c r="K88" i="7" s="1"/>
  <c r="O18" i="6"/>
  <c r="O20" i="6"/>
  <c r="O19" i="6"/>
  <c r="O21" i="6"/>
  <c r="O17" i="6"/>
  <c r="P7" i="6"/>
  <c r="V3" i="6"/>
  <c r="AG72" i="1"/>
  <c r="AG81" i="1" s="1"/>
  <c r="AF81" i="1"/>
  <c r="AG86" i="1" s="1"/>
  <c r="AI85" i="1" s="1"/>
  <c r="AH74" i="1"/>
  <c r="AH73" i="1"/>
  <c r="O14" i="6"/>
  <c r="N77" i="6"/>
  <c r="O15" i="6"/>
  <c r="S16" i="6"/>
  <c r="O12" i="6"/>
  <c r="S14" i="6"/>
  <c r="J78" i="6"/>
  <c r="S15" i="6"/>
  <c r="O13" i="6"/>
  <c r="S13" i="6"/>
  <c r="J74" i="6"/>
  <c r="N74" i="6" s="1"/>
  <c r="S12" i="6"/>
  <c r="J73" i="6"/>
  <c r="N73" i="6" s="1"/>
  <c r="J77" i="6"/>
  <c r="O16" i="6"/>
  <c r="N78" i="6"/>
  <c r="H56" i="1"/>
  <c r="H117" i="1" s="1"/>
  <c r="H76" i="7"/>
  <c r="H60" i="1" s="1"/>
  <c r="H85" i="1" s="1"/>
  <c r="H89" i="1" s="1"/>
  <c r="I83" i="6"/>
  <c r="I92" i="6" s="1"/>
  <c r="I68" i="6"/>
  <c r="I88" i="6"/>
  <c r="I89" i="6" s="1"/>
  <c r="I85" i="6"/>
  <c r="D32" i="3"/>
  <c r="T37" i="1" s="1"/>
  <c r="D31" i="3"/>
  <c r="AL38" i="3"/>
  <c r="AM38" i="3" s="1"/>
  <c r="AR38" i="3"/>
  <c r="AS38" i="3" s="1"/>
  <c r="AN38" i="3"/>
  <c r="AO38" i="3" s="1"/>
  <c r="AT38" i="3"/>
  <c r="AU38" i="3" s="1"/>
  <c r="AL80" i="3"/>
  <c r="AM80" i="3" s="1"/>
  <c r="AR80" i="3"/>
  <c r="AS80" i="3" s="1"/>
  <c r="AN80" i="3"/>
  <c r="AO80" i="3" s="1"/>
  <c r="AT80" i="3"/>
  <c r="AU80" i="3" s="1"/>
  <c r="AN57" i="3"/>
  <c r="AO57" i="3" s="1"/>
  <c r="AT57" i="3"/>
  <c r="AU57" i="3" s="1"/>
  <c r="AL57" i="3"/>
  <c r="AM57" i="3" s="1"/>
  <c r="AR57" i="3"/>
  <c r="AS57" i="3" s="1"/>
  <c r="AB58" i="3"/>
  <c r="AD58" i="3" s="1"/>
  <c r="AX58" i="3" s="1"/>
  <c r="AY58" i="3" s="1"/>
  <c r="AE58" i="3"/>
  <c r="AZ58" i="3" s="1"/>
  <c r="BA58" i="3" s="1"/>
  <c r="X58" i="3"/>
  <c r="AE81" i="3"/>
  <c r="AB81" i="3"/>
  <c r="AD81" i="3" s="1"/>
  <c r="AX81" i="3" s="1"/>
  <c r="AY81" i="3" s="1"/>
  <c r="X81" i="3"/>
  <c r="H119" i="1" l="1"/>
  <c r="AC60" i="3"/>
  <c r="AE60" i="3" s="1"/>
  <c r="AZ60" i="3" s="1"/>
  <c r="BA60" i="3" s="1"/>
  <c r="AB60" i="3"/>
  <c r="AD60" i="3" s="1"/>
  <c r="AX60" i="3" s="1"/>
  <c r="AY60" i="3" s="1"/>
  <c r="AZ81" i="3"/>
  <c r="BA81" i="3" s="1"/>
  <c r="AH72" i="1"/>
  <c r="AH81" i="1" s="1"/>
  <c r="AD86" i="1" s="1"/>
  <c r="AD87" i="1" s="1"/>
  <c r="H86" i="1"/>
  <c r="H90" i="1" s="1"/>
  <c r="H91" i="1" s="1"/>
  <c r="H81" i="7" s="1"/>
  <c r="Z84" i="1"/>
  <c r="S75" i="1"/>
  <c r="V94" i="1"/>
  <c r="Z85" i="1"/>
  <c r="Z95" i="1"/>
  <c r="U84" i="1"/>
  <c r="U85" i="1"/>
  <c r="S37" i="1"/>
  <c r="U37" i="1" s="1"/>
  <c r="I91" i="6"/>
  <c r="I86" i="6"/>
  <c r="AN58" i="3"/>
  <c r="AO58" i="3" s="1"/>
  <c r="AT58" i="3"/>
  <c r="AU58" i="3" s="1"/>
  <c r="AL58" i="3"/>
  <c r="AM58" i="3" s="1"/>
  <c r="AR58" i="3"/>
  <c r="AS58" i="3" s="1"/>
  <c r="AL81" i="3"/>
  <c r="AM81" i="3" s="1"/>
  <c r="AR81" i="3"/>
  <c r="AS81" i="3" s="1"/>
  <c r="AN81" i="3"/>
  <c r="AO81" i="3" s="1"/>
  <c r="AT81" i="3"/>
  <c r="AU81" i="3" s="1"/>
  <c r="X60" i="3"/>
  <c r="H39" i="7" s="1"/>
  <c r="R83" i="1" l="1"/>
  <c r="R82" i="1"/>
  <c r="H74" i="1"/>
  <c r="H75" i="1" s="1"/>
  <c r="H125" i="1"/>
  <c r="H114" i="1"/>
  <c r="H25" i="1"/>
  <c r="H74" i="7"/>
  <c r="T82" i="1"/>
  <c r="I77" i="1"/>
  <c r="I79" i="1"/>
  <c r="Z90" i="1"/>
  <c r="V90" i="1"/>
  <c r="AN60" i="3"/>
  <c r="AO60" i="3" s="1"/>
  <c r="AT60" i="3"/>
  <c r="AU60" i="3" s="1"/>
  <c r="AL60" i="3"/>
  <c r="AM60" i="3" s="1"/>
  <c r="AR60" i="3"/>
  <c r="AS60" i="3" s="1"/>
  <c r="H76" i="1" l="1"/>
  <c r="H79" i="1" s="1"/>
  <c r="H78" i="1"/>
  <c r="H77" i="1"/>
  <c r="H58" i="1"/>
  <c r="M74" i="6"/>
  <c r="M78" i="6" s="1"/>
  <c r="K74" i="7"/>
  <c r="I73" i="6"/>
  <c r="K47" i="7"/>
  <c r="H75" i="7"/>
  <c r="H59" i="1" s="1"/>
  <c r="V42" i="1" l="1"/>
  <c r="I30" i="3"/>
  <c r="I74" i="6"/>
  <c r="I78" i="6" s="1"/>
  <c r="I77" i="6"/>
  <c r="H122" i="1" l="1"/>
  <c r="H126" i="1" s="1"/>
  <c r="H80" i="1"/>
  <c r="H83" i="1" s="1"/>
  <c r="I32" i="3"/>
  <c r="I34" i="3" s="1"/>
  <c r="F50" i="3"/>
  <c r="D44" i="3"/>
  <c r="S55" i="3"/>
  <c r="X42" i="1"/>
  <c r="U42" i="1"/>
  <c r="H82" i="1" l="1"/>
  <c r="H78" i="7"/>
  <c r="H99" i="1"/>
  <c r="H128" i="1"/>
  <c r="H129" i="1" s="1"/>
  <c r="H95" i="7" s="1"/>
  <c r="H94" i="7"/>
  <c r="T36" i="1"/>
  <c r="S36" i="1" s="1"/>
  <c r="U36" i="1" s="1"/>
  <c r="T55" i="3" l="1"/>
  <c r="T56" i="3"/>
  <c r="U56" i="3" s="1"/>
  <c r="D46" i="3" s="1"/>
  <c r="H93" i="1"/>
  <c r="H79" i="7" s="1"/>
  <c r="H100" i="1" l="1"/>
  <c r="H105" i="1" s="1"/>
  <c r="K108" i="1" s="1"/>
  <c r="H95" i="1"/>
  <c r="H80" i="7" s="1"/>
  <c r="K80" i="7" s="1"/>
  <c r="U55" i="3"/>
  <c r="D45" i="3"/>
  <c r="D48" i="3" s="1"/>
  <c r="F48" i="3" l="1"/>
  <c r="T41" i="1" s="1"/>
  <c r="X41" i="1" s="1"/>
  <c r="T40" i="1"/>
  <c r="S40" i="1" s="1"/>
  <c r="U40" i="1" s="1"/>
  <c r="H94" i="1"/>
  <c r="K95" i="1"/>
  <c r="H96" i="1" l="1"/>
  <c r="H83" i="7" s="1"/>
  <c r="K83" i="7" s="1"/>
  <c r="H82" i="7"/>
  <c r="H97" i="1" l="1"/>
  <c r="K97" i="1" s="1"/>
  <c r="K96" i="1"/>
  <c r="H84" i="7" l="1"/>
  <c r="K84"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Paolo Grossi</author>
  </authors>
  <commentList>
    <comment ref="H57" authorId="0" shapeId="0" xr:uid="{0A6C868C-F432-44EC-A09E-905A883AA8A7}">
      <text>
        <r>
          <rPr>
            <b/>
            <sz val="9"/>
            <color indexed="81"/>
            <rFont val="Tahoma"/>
            <family val="2"/>
          </rPr>
          <t>Paolo Grossi:</t>
        </r>
        <r>
          <rPr>
            <sz val="9"/>
            <color indexed="81"/>
            <rFont val="Tahoma"/>
            <family val="2"/>
          </rPr>
          <t xml:space="preserve">
si assume che la vite penetri nel cordolo fino alla barra d'armatura opposta </t>
        </r>
      </text>
    </comment>
  </commentList>
</comments>
</file>

<file path=xl/sharedStrings.xml><?xml version="1.0" encoding="utf-8"?>
<sst xmlns="http://schemas.openxmlformats.org/spreadsheetml/2006/main" count="2181" uniqueCount="1438">
  <si>
    <t>Composizione pannello</t>
  </si>
  <si>
    <t>diametro</t>
  </si>
  <si>
    <t xml:space="preserve">lunghezza </t>
  </si>
  <si>
    <t>Pannelli</t>
  </si>
  <si>
    <t>ns</t>
  </si>
  <si>
    <t>t</t>
  </si>
  <si>
    <t>t1</t>
  </si>
  <si>
    <t>t2</t>
  </si>
  <si>
    <t>t3</t>
  </si>
  <si>
    <t>t4</t>
  </si>
  <si>
    <t>t5</t>
  </si>
  <si>
    <t>t6</t>
  </si>
  <si>
    <t>t7</t>
  </si>
  <si>
    <t>t8</t>
  </si>
  <si>
    <t>t9</t>
  </si>
  <si>
    <t>strati</t>
  </si>
  <si>
    <t>Tipo</t>
  </si>
  <si>
    <t>Nr strati</t>
  </si>
  <si>
    <t>SCREWS</t>
  </si>
  <si>
    <t>VGS</t>
  </si>
  <si>
    <t>RTR</t>
  </si>
  <si>
    <t>d</t>
  </si>
  <si>
    <t>l</t>
  </si>
  <si>
    <t>Calcestruzzo</t>
  </si>
  <si>
    <t>Diametro staffe</t>
  </si>
  <si>
    <t>Diametro ferri long</t>
  </si>
  <si>
    <t>Copriferro minimo long</t>
  </si>
  <si>
    <t>Copriferro minimo staff</t>
  </si>
  <si>
    <t>d st</t>
  </si>
  <si>
    <t>d_L</t>
  </si>
  <si>
    <t>Diam aggregato</t>
  </si>
  <si>
    <t>cmin,b</t>
  </si>
  <si>
    <t>cmin,dur</t>
  </si>
  <si>
    <t>c,nom</t>
  </si>
  <si>
    <t>Cmin</t>
  </si>
  <si>
    <t>[mm]</t>
  </si>
  <si>
    <t>Cl</t>
  </si>
  <si>
    <t>S1</t>
  </si>
  <si>
    <t>S2</t>
  </si>
  <si>
    <t>S3</t>
  </si>
  <si>
    <t>S4</t>
  </si>
  <si>
    <t>S5</t>
  </si>
  <si>
    <t>S6</t>
  </si>
  <si>
    <t>X0</t>
  </si>
  <si>
    <t>XC1</t>
  </si>
  <si>
    <t>XC2</t>
  </si>
  <si>
    <t>XC3</t>
  </si>
  <si>
    <t>XC4</t>
  </si>
  <si>
    <t>Classe strutturale</t>
  </si>
  <si>
    <t>Distanza asse ferri longitudinali</t>
  </si>
  <si>
    <t>Tipo di vite</t>
  </si>
  <si>
    <t>larghezza cordolo lc,min</t>
  </si>
  <si>
    <t>Geometria effettiva</t>
  </si>
  <si>
    <t>lunghezza di sovrapposizione minima</t>
  </si>
  <si>
    <t>Sollecitazione</t>
  </si>
  <si>
    <t>[kN]</t>
  </si>
  <si>
    <t>Lunghezza di sovrapposizione</t>
  </si>
  <si>
    <t>Spessore</t>
  </si>
  <si>
    <t>t10</t>
  </si>
  <si>
    <t>t11</t>
  </si>
  <si>
    <t>Distanza dal bordo reale viti</t>
  </si>
  <si>
    <t>Distanza minima bordo a4t</t>
  </si>
  <si>
    <t>[kNm]</t>
  </si>
  <si>
    <t>Classe calcestuzzo</t>
  </si>
  <si>
    <t>C25/30</t>
  </si>
  <si>
    <t>C20/25</t>
  </si>
  <si>
    <t>C28/35</t>
  </si>
  <si>
    <t>C32/40</t>
  </si>
  <si>
    <t>Rck</t>
  </si>
  <si>
    <t>fck</t>
  </si>
  <si>
    <t>C24</t>
  </si>
  <si>
    <t>GL24h</t>
  </si>
  <si>
    <t>fc0d</t>
  </si>
  <si>
    <t>fc90k</t>
  </si>
  <si>
    <t>fc0k</t>
  </si>
  <si>
    <t>Durata carico</t>
  </si>
  <si>
    <t>Breve</t>
  </si>
  <si>
    <t>ym</t>
  </si>
  <si>
    <t>kmod</t>
  </si>
  <si>
    <t>Lunga</t>
  </si>
  <si>
    <t>Media</t>
  </si>
  <si>
    <t>Istantanea</t>
  </si>
  <si>
    <t>Classe</t>
  </si>
  <si>
    <t>Braccio di leva</t>
  </si>
  <si>
    <t>Larghezza effettiva cordolo lc</t>
  </si>
  <si>
    <t>Lunghezza efficace filetto vite Legno</t>
  </si>
  <si>
    <t>Lunghezza filetto vite Legno</t>
  </si>
  <si>
    <t>Lunghezza filetto vite CA</t>
  </si>
  <si>
    <t>leff</t>
  </si>
  <si>
    <t>ro</t>
  </si>
  <si>
    <t>[Mpa]</t>
  </si>
  <si>
    <t>[kg/mc]</t>
  </si>
  <si>
    <t>Rtens,d</t>
  </si>
  <si>
    <t>Rax,d</t>
  </si>
  <si>
    <t>Ftens</t>
  </si>
  <si>
    <t>min</t>
  </si>
  <si>
    <t xml:space="preserve">lunghezza ancoraggio minima </t>
  </si>
  <si>
    <t>L</t>
  </si>
  <si>
    <t>Verifica ancoraggio lato calcestruzzo</t>
  </si>
  <si>
    <t>fbd</t>
  </si>
  <si>
    <t>[MPa]</t>
  </si>
  <si>
    <t>Tensione di aderenza</t>
  </si>
  <si>
    <t>[%]</t>
  </si>
  <si>
    <t>Lunghezza effettiva</t>
  </si>
  <si>
    <t xml:space="preserve">Orientamento </t>
  </si>
  <si>
    <t>fcd</t>
  </si>
  <si>
    <t>Resistenze</t>
  </si>
  <si>
    <t>Resistenza a compressione legno (design)</t>
  </si>
  <si>
    <t>Resistenza a compressione CLS (design)</t>
  </si>
  <si>
    <t>min(T,CA)</t>
  </si>
  <si>
    <t>Azione massima su tutte le viti</t>
  </si>
  <si>
    <t>I set</t>
  </si>
  <si>
    <t>II set</t>
  </si>
  <si>
    <t>mm</t>
  </si>
  <si>
    <t>x3</t>
  </si>
  <si>
    <t>Viti</t>
  </si>
  <si>
    <t>x2</t>
  </si>
  <si>
    <t>x1</t>
  </si>
  <si>
    <t>x</t>
  </si>
  <si>
    <t>FROM EQUILIBRIUM L PAN:</t>
  </si>
  <si>
    <t>x4</t>
  </si>
  <si>
    <t>Spaziatura esup</t>
  </si>
  <si>
    <t>Spaziatura einf</t>
  </si>
  <si>
    <t>Calcolo sforzi</t>
  </si>
  <si>
    <t>Azione massima viti in piano su singola vite superiore</t>
  </si>
  <si>
    <t>Azione massima viti in piano su singola vite inferiore</t>
  </si>
  <si>
    <t>Azione combinata su singola vite inferiore</t>
  </si>
  <si>
    <t>Azione combinata su singola vite superiore</t>
  </si>
  <si>
    <t>c</t>
  </si>
  <si>
    <t>e</t>
  </si>
  <si>
    <t>MY</t>
  </si>
  <si>
    <t>fhk</t>
  </si>
  <si>
    <t>[Nm]</t>
  </si>
  <si>
    <t>My</t>
  </si>
  <si>
    <t>Massima azione tagliante</t>
  </si>
  <si>
    <t>Lunghezza ancoraggio richiesta</t>
  </si>
  <si>
    <t xml:space="preserve"> lb,rqd</t>
  </si>
  <si>
    <t>Lunghezza ancoraggio minima</t>
  </si>
  <si>
    <t xml:space="preserve"> lbd</t>
  </si>
  <si>
    <t xml:space="preserve">lbd,min </t>
  </si>
  <si>
    <t xml:space="preserve">Tasso di lavoro </t>
  </si>
  <si>
    <t>h</t>
  </si>
  <si>
    <t xml:space="preserve">Lunghezza overlap </t>
  </si>
  <si>
    <t>l0</t>
  </si>
  <si>
    <t xml:space="preserve"> l0,min</t>
  </si>
  <si>
    <t>Tasso di lavoro</t>
  </si>
  <si>
    <t xml:space="preserve"> h</t>
  </si>
  <si>
    <t>a</t>
  </si>
  <si>
    <t>z</t>
  </si>
  <si>
    <t>b</t>
  </si>
  <si>
    <t>Vx</t>
  </si>
  <si>
    <t>Taglio in piano</t>
  </si>
  <si>
    <t>Taglio fuoripiano</t>
  </si>
  <si>
    <t>Lunghezza giunto</t>
  </si>
  <si>
    <t>lanc,cls</t>
  </si>
  <si>
    <t>l0,min</t>
  </si>
  <si>
    <t>a4t min</t>
  </si>
  <si>
    <t>esup</t>
  </si>
  <si>
    <t>einf</t>
  </si>
  <si>
    <t>dst</t>
  </si>
  <si>
    <t>dl</t>
  </si>
  <si>
    <t>agg</t>
  </si>
  <si>
    <t>cst</t>
  </si>
  <si>
    <t>cl</t>
  </si>
  <si>
    <t>lc</t>
  </si>
  <si>
    <t>fc0,d</t>
  </si>
  <si>
    <t>fc,d</t>
  </si>
  <si>
    <t>fc,cls,d</t>
  </si>
  <si>
    <t>fb</t>
  </si>
  <si>
    <t>R,ax,d</t>
  </si>
  <si>
    <t>R,v,d</t>
  </si>
  <si>
    <t xml:space="preserve">Tasso di lavoro sforzo assiale </t>
  </si>
  <si>
    <t xml:space="preserve">Tasso di lavoro sforzo taglio </t>
  </si>
  <si>
    <t xml:space="preserve">Tasso di lavoro combinata taglio trazione </t>
  </si>
  <si>
    <t>Raxconc,d</t>
  </si>
  <si>
    <t>fbk</t>
  </si>
  <si>
    <t>legno</t>
  </si>
  <si>
    <t>Raxconc,k</t>
  </si>
  <si>
    <t>lbdmin</t>
  </si>
  <si>
    <t>Ancoraggio</t>
  </si>
  <si>
    <t>Sovrapposizione</t>
  </si>
  <si>
    <t>Raxd(Lmin)</t>
  </si>
  <si>
    <t>Raxd(Lbdmin)</t>
  </si>
  <si>
    <t>Resistenze massime lato calcestruzzo con lunghezza minima</t>
  </si>
  <si>
    <r>
      <rPr>
        <sz val="10"/>
        <color theme="1"/>
        <rFont val="Symbol"/>
        <family val="1"/>
        <charset val="2"/>
      </rPr>
      <t>a</t>
    </r>
    <r>
      <rPr>
        <sz val="10"/>
        <color theme="1"/>
        <rFont val="Verdana"/>
        <family val="2"/>
      </rPr>
      <t>cc</t>
    </r>
  </si>
  <si>
    <t>l-lbdmin</t>
  </si>
  <si>
    <t>l-l0min-c</t>
  </si>
  <si>
    <t>Raxd(l-Lbdmin)</t>
  </si>
  <si>
    <t>Ftens,d</t>
  </si>
  <si>
    <t>RESISTENZE IMPONENDO MINIMA LUNGHEZZA LATO CALCESTRUZZO</t>
  </si>
  <si>
    <t>tipo di rottura</t>
  </si>
  <si>
    <t>sovrapposizione</t>
  </si>
  <si>
    <t>ancoraggio</t>
  </si>
  <si>
    <t>Rmin</t>
  </si>
  <si>
    <t>Raxd(l-L0min-c)</t>
  </si>
  <si>
    <t>Resistenze massime lato legno con lunghezza minima lato cls</t>
  </si>
  <si>
    <t>CONTROLLO SU VALORI DI PROGETTO</t>
  </si>
  <si>
    <t>CONTROLLO SU VALORI CARATTERISTICI</t>
  </si>
  <si>
    <t>CONTROLLO SU VALORI MEDI</t>
  </si>
  <si>
    <t>coeff. Sovr. exp</t>
  </si>
  <si>
    <t>ASSIALE</t>
  </si>
  <si>
    <t xml:space="preserve">TAGLIO </t>
  </si>
  <si>
    <t>Legno estrazione filetto</t>
  </si>
  <si>
    <t>Acciaio trazione netta</t>
  </si>
  <si>
    <t>Calcestruzzo estrazione</t>
  </si>
  <si>
    <t>Progetto</t>
  </si>
  <si>
    <t>Sperimentale</t>
  </si>
  <si>
    <t>Caratt</t>
  </si>
  <si>
    <t>Meccanismo di rottura viti</t>
  </si>
  <si>
    <t>Tranciamento acciao viti</t>
  </si>
  <si>
    <t>Rottura lato legno (Johansen)</t>
  </si>
  <si>
    <t>Fv,Rk</t>
  </si>
  <si>
    <t>ftb</t>
  </si>
  <si>
    <t>fuk</t>
  </si>
  <si>
    <t>Aeff</t>
  </si>
  <si>
    <t>failure mode:</t>
  </si>
  <si>
    <t>dn</t>
  </si>
  <si>
    <r>
      <t>[mm</t>
    </r>
    <r>
      <rPr>
        <vertAlign val="superscript"/>
        <sz val="10"/>
        <color theme="1"/>
        <rFont val="Verdana"/>
        <family val="2"/>
      </rPr>
      <t>2</t>
    </r>
    <r>
      <rPr>
        <sz val="10"/>
        <color theme="1"/>
        <rFont val="Verdana"/>
        <family val="2"/>
      </rPr>
      <t>]</t>
    </r>
  </si>
  <si>
    <t>Fv,Rd</t>
  </si>
  <si>
    <t>Failure mode according to EN1995</t>
  </si>
  <si>
    <t>leff min (e)</t>
  </si>
  <si>
    <t>a4t</t>
  </si>
  <si>
    <t>(4.0 E1)</t>
  </si>
  <si>
    <t xml:space="preserve">Resistenza a taglio singola vite </t>
  </si>
  <si>
    <t>(1) E1</t>
  </si>
  <si>
    <t>(2) E1</t>
  </si>
  <si>
    <t>(3) E1</t>
  </si>
  <si>
    <t>(4/5) E1</t>
  </si>
  <si>
    <t>Mx</t>
  </si>
  <si>
    <t>Momento flettente (parallelo al giunto)</t>
  </si>
  <si>
    <t>y</t>
  </si>
  <si>
    <t>Distanza viti superiori/inferiori</t>
  </si>
  <si>
    <t>Azione assiale (perpendicolare al giunto)</t>
  </si>
  <si>
    <t>Ny</t>
  </si>
  <si>
    <t>nsup</t>
  </si>
  <si>
    <t>ninf</t>
  </si>
  <si>
    <t>leff min (for ductile mode)</t>
  </si>
  <si>
    <t>leff-10mm</t>
  </si>
  <si>
    <t>leff,min duct</t>
  </si>
  <si>
    <t>leff min (duct)</t>
  </si>
  <si>
    <t>J</t>
  </si>
  <si>
    <t>RE</t>
  </si>
  <si>
    <t>%</t>
  </si>
  <si>
    <t>max RE adm</t>
  </si>
  <si>
    <t xml:space="preserve">Mxy </t>
  </si>
  <si>
    <t>Torsione</t>
  </si>
  <si>
    <t>Calcolo asse neutro - Flessione</t>
  </si>
  <si>
    <t>Distanza viti lembo superiore</t>
  </si>
  <si>
    <t>hd</t>
  </si>
  <si>
    <t>lbc</t>
  </si>
  <si>
    <t>[kN]/[m]</t>
  </si>
  <si>
    <t>[kNm]/[m]</t>
  </si>
  <si>
    <t>kser</t>
  </si>
  <si>
    <t>[kN/m]</t>
  </si>
  <si>
    <t>xsls</t>
  </si>
  <si>
    <t>spessore di tutti gli strati longitudinali entro il 25% della sezione trasversale esterna</t>
  </si>
  <si>
    <t>verifica strati per xsls</t>
  </si>
  <si>
    <t>Lunghezza compressa calcolo per rigidezza</t>
  </si>
  <si>
    <t>zsls</t>
  </si>
  <si>
    <t>fref</t>
  </si>
  <si>
    <t>mref</t>
  </si>
  <si>
    <t>[kNm/m]</t>
  </si>
  <si>
    <t>Momento di riferimento</t>
  </si>
  <si>
    <t>kc</t>
  </si>
  <si>
    <t xml:space="preserve">Rigidezza a compressione </t>
  </si>
  <si>
    <t>E90m</t>
  </si>
  <si>
    <t>E0m</t>
  </si>
  <si>
    <t xml:space="preserve"> </t>
  </si>
  <si>
    <t>bref</t>
  </si>
  <si>
    <t>Larghezza di riferimento</t>
  </si>
  <si>
    <t>kax</t>
  </si>
  <si>
    <t>Rigidezza assiale</t>
  </si>
  <si>
    <t>Rigidezza a taglio</t>
  </si>
  <si>
    <t>numero di viti superiori/metro</t>
  </si>
  <si>
    <t>numero di viti inferiori/metro</t>
  </si>
  <si>
    <t>[-]/[m]</t>
  </si>
  <si>
    <t>[N/mm/m]</t>
  </si>
  <si>
    <t>(15) E9</t>
  </si>
  <si>
    <t>[N/mm]</t>
  </si>
  <si>
    <t>ut,ref</t>
  </si>
  <si>
    <t>uc,ref</t>
  </si>
  <si>
    <t>nref</t>
  </si>
  <si>
    <t>Viti in zona tesa</t>
  </si>
  <si>
    <r>
      <rPr>
        <sz val="10"/>
        <color theme="1"/>
        <rFont val="Symbol"/>
        <family val="1"/>
        <charset val="2"/>
      </rPr>
      <t>j</t>
    </r>
    <r>
      <rPr>
        <vertAlign val="subscript"/>
        <sz val="10"/>
        <color theme="1"/>
        <rFont val="Verdana"/>
        <family val="2"/>
      </rPr>
      <t>ref</t>
    </r>
  </si>
  <si>
    <t>Angolo di rotazione unitario</t>
  </si>
  <si>
    <r>
      <t>K</t>
    </r>
    <r>
      <rPr>
        <sz val="10"/>
        <color theme="1"/>
        <rFont val="Symbol"/>
        <family val="1"/>
        <charset val="2"/>
      </rPr>
      <t>j</t>
    </r>
  </si>
  <si>
    <t>Rigidezza taglio/flessionale</t>
  </si>
  <si>
    <t>C</t>
  </si>
  <si>
    <t>first layer</t>
  </si>
  <si>
    <t>a_t(25%)</t>
  </si>
  <si>
    <t>a(x&lt;t1)</t>
  </si>
  <si>
    <t>a(x&gt;t1)</t>
  </si>
  <si>
    <t>(8) E7</t>
  </si>
  <si>
    <t>(9) E7</t>
  </si>
  <si>
    <t>(10) E7</t>
  </si>
  <si>
    <t>(11) E7</t>
  </si>
  <si>
    <t>(12) E7</t>
  </si>
  <si>
    <t>(13) E7</t>
  </si>
  <si>
    <t>Flat,sup,x</t>
  </si>
  <si>
    <t>Flat,inf,x</t>
  </si>
  <si>
    <t>Flat,sup,z</t>
  </si>
  <si>
    <t>Flat,inf,z</t>
  </si>
  <si>
    <t>Flat,inf</t>
  </si>
  <si>
    <t>Flat,sup</t>
  </si>
  <si>
    <t>Vz</t>
  </si>
  <si>
    <t>Resistenza lato legno considerando penetrazione minima lato calcestruzzo (anc)</t>
  </si>
  <si>
    <t>Resistenza lato legno considerando penetrazione minima lato calcestruzzo (sovrapp)</t>
  </si>
  <si>
    <t>N</t>
  </si>
  <si>
    <t>Analitica</t>
  </si>
  <si>
    <t>esupeff</t>
  </si>
  <si>
    <t>einfeff</t>
  </si>
  <si>
    <t>(eff.nr ax)</t>
  </si>
  <si>
    <t>(eff.nr sh)</t>
  </si>
  <si>
    <t>ymconn</t>
  </si>
  <si>
    <t>Rv,d</t>
  </si>
  <si>
    <t>Numero efficace assiale (non necessario)</t>
  </si>
  <si>
    <t>Numero efficace a taglio (non necessario)</t>
  </si>
  <si>
    <t>n</t>
  </si>
  <si>
    <t>sup</t>
  </si>
  <si>
    <t>inf</t>
  </si>
  <si>
    <t>(d1vitesup)</t>
  </si>
  <si>
    <t>(d1viteinf</t>
  </si>
  <si>
    <t>LC</t>
  </si>
  <si>
    <t>viti</t>
  </si>
  <si>
    <t>tavoletta</t>
  </si>
  <si>
    <t>ltav</t>
  </si>
  <si>
    <t>htav</t>
  </si>
  <si>
    <t>Concrete</t>
  </si>
  <si>
    <t>Distanza bordo a4t</t>
  </si>
  <si>
    <t>Verifica coerenza posizione viti/ferri</t>
  </si>
  <si>
    <r>
      <rPr>
        <sz val="10"/>
        <color theme="1"/>
        <rFont val="Symbol"/>
        <family val="1"/>
        <charset val="2"/>
      </rPr>
      <t>a</t>
    </r>
    <r>
      <rPr>
        <sz val="10"/>
        <color theme="1"/>
        <rFont val="Verdana"/>
        <family val="2"/>
      </rPr>
      <t>ct</t>
    </r>
  </si>
  <si>
    <t>Lunghezza di ancoraggio</t>
  </si>
  <si>
    <t>assumiamo che la testa della vite sia in corrispondenza del filo esterno della staffa</t>
  </si>
  <si>
    <t>somma</t>
  </si>
  <si>
    <t>area</t>
  </si>
  <si>
    <t>dist</t>
  </si>
  <si>
    <t>min zona comp</t>
  </si>
  <si>
    <t>(5) E4 or (6) E5</t>
  </si>
  <si>
    <t>(7) E6</t>
  </si>
  <si>
    <t>C1</t>
  </si>
  <si>
    <t>Lunghezza ancoraggio</t>
  </si>
  <si>
    <t>(1) D1</t>
  </si>
  <si>
    <t>E5/E6</t>
  </si>
  <si>
    <t>(4) E1</t>
  </si>
  <si>
    <t>leff,min</t>
  </si>
  <si>
    <t>(14) E8</t>
  </si>
  <si>
    <t>(16) E10</t>
  </si>
  <si>
    <t>(18) E10</t>
  </si>
  <si>
    <t>(20) E10</t>
  </si>
  <si>
    <t>(22) E10</t>
  </si>
  <si>
    <t>(21) E10</t>
  </si>
  <si>
    <t>(17) E10</t>
  </si>
  <si>
    <t>(19) E10</t>
  </si>
  <si>
    <t>C35/45</t>
  </si>
  <si>
    <t>C40/50</t>
  </si>
  <si>
    <t>C45/55</t>
  </si>
  <si>
    <t>C30/37</t>
  </si>
  <si>
    <t>C50/60</t>
  </si>
  <si>
    <t>IT</t>
  </si>
  <si>
    <t>Data</t>
  </si>
  <si>
    <t>Progettista</t>
  </si>
  <si>
    <t>Connessione nr.</t>
  </si>
  <si>
    <t xml:space="preserve">Informazioni generali </t>
  </si>
  <si>
    <t>Lingua</t>
  </si>
  <si>
    <t>Diametro</t>
  </si>
  <si>
    <t xml:space="preserve">Lunghezza </t>
  </si>
  <si>
    <t>Numero di viti superiori/metro</t>
  </si>
  <si>
    <t>Numero di viti inferiori/metro</t>
  </si>
  <si>
    <t>Lunghezza ancoraggio minima (Concrete)</t>
  </si>
  <si>
    <t>Lunghezza di sovrapposizione minima (Concrete)</t>
  </si>
  <si>
    <t>Lunghezza di penetrazione minima (Timber)</t>
  </si>
  <si>
    <t>(*) si assume che la vite penetri nel cordolo fino alla barra d'armatura opposta</t>
  </si>
  <si>
    <t>Lunghezza filetto vite CA (*)</t>
  </si>
  <si>
    <t>(*) si considera che la trazione venga assorbita solo dalle viti sulla linea inferiore</t>
  </si>
  <si>
    <t>Azione massima su singola vite (*)</t>
  </si>
  <si>
    <t>Tolleranza su curvatura staffe</t>
  </si>
  <si>
    <t>[-]</t>
  </si>
  <si>
    <t>Tavola</t>
  </si>
  <si>
    <t>Posizione ferro longitudinale</t>
  </si>
  <si>
    <t>Ferro longitudinale (1/2 dia.)</t>
  </si>
  <si>
    <t>Vite (1/2 dia.)</t>
  </si>
  <si>
    <t>Copriferro minimo richiesto [mm]</t>
  </si>
  <si>
    <r>
      <rPr>
        <b/>
        <sz val="10"/>
        <color theme="1"/>
        <rFont val="Symbol"/>
        <family val="1"/>
        <charset val="2"/>
      </rPr>
      <t>D</t>
    </r>
    <r>
      <rPr>
        <b/>
        <sz val="10"/>
        <color theme="1"/>
        <rFont val="Verdana"/>
        <family val="2"/>
      </rPr>
      <t>,cdev</t>
    </r>
  </si>
  <si>
    <t>Fax,d</t>
  </si>
  <si>
    <t>Classe di esposizione ambientale</t>
  </si>
  <si>
    <t>acciaio (trazione)</t>
  </si>
  <si>
    <t>thick plate</t>
  </si>
  <si>
    <t>ρ CLT</t>
  </si>
  <si>
    <t>EN</t>
  </si>
  <si>
    <t>lingua selezionata:</t>
  </si>
  <si>
    <t>Copriferro minimo per le staffe</t>
  </si>
  <si>
    <t>Copriferro minimo per le barre longitudinali</t>
  </si>
  <si>
    <t>Distanza dall'asse delle barre lungitudinali</t>
  </si>
  <si>
    <t>user material</t>
  </si>
  <si>
    <t>celle editabili</t>
  </si>
  <si>
    <t>coeff. materiale acciaio</t>
  </si>
  <si>
    <t>coeff. materiale calcestruzzo</t>
  </si>
  <si>
    <t>coeff. connessione legno</t>
  </si>
  <si>
    <t>Spaziatura superiore</t>
  </si>
  <si>
    <t>Spaziatura inferiore</t>
  </si>
  <si>
    <t>Diametro ferri longitudinali</t>
  </si>
  <si>
    <t>Copriferro minimo staffe</t>
  </si>
  <si>
    <t>Copriferro minimo barre longitudinali</t>
  </si>
  <si>
    <t>Larghezza minima cordolo</t>
  </si>
  <si>
    <t>Larghezza effettiva cordolo</t>
  </si>
  <si>
    <t>lc,min</t>
  </si>
  <si>
    <t>Distanza tra viti superiori/inferiori</t>
  </si>
  <si>
    <t xml:space="preserve">Momento flettente rispetto le viti </t>
  </si>
  <si>
    <t xml:space="preserve">Asse neutro </t>
  </si>
  <si>
    <t xml:space="preserve">Porzione compressa prima lamella </t>
  </si>
  <si>
    <t xml:space="preserve">Porzione compressa seconda lamella </t>
  </si>
  <si>
    <t xml:space="preserve">Porzione compressa terza lamella </t>
  </si>
  <si>
    <t xml:space="preserve">Posizione risultante </t>
  </si>
  <si>
    <t>Azione massima viti fuoripiano su singola vite superiore</t>
  </si>
  <si>
    <t>Azione massima viti fuoripiano su singola vite inferiore</t>
  </si>
  <si>
    <t>Resistenza assiale singola vite lato legno/acciaio</t>
  </si>
  <si>
    <t>Forza su viti di riferimento</t>
  </si>
  <si>
    <t>Deformazione della zona compressa</t>
  </si>
  <si>
    <t>Deformazione dei fissaggi</t>
  </si>
  <si>
    <t>Tavola (Y/N)</t>
  </si>
  <si>
    <t>Sollecitazioni</t>
  </si>
  <si>
    <t>Flat,d</t>
  </si>
  <si>
    <t>Lunghezza minima ancoraggio</t>
  </si>
  <si>
    <t>Lunghezza minima overlap</t>
  </si>
  <si>
    <t>Rigidezze</t>
  </si>
  <si>
    <t>Azione massima su singola vite</t>
  </si>
  <si>
    <t>5s</t>
  </si>
  <si>
    <t>7s</t>
  </si>
  <si>
    <t>9s</t>
  </si>
  <si>
    <t>11s</t>
  </si>
  <si>
    <t>EC 1995-1-1</t>
  </si>
  <si>
    <t>CALCOLO TC-FUSION</t>
  </si>
  <si>
    <t>Normativa</t>
  </si>
  <si>
    <t xml:space="preserve">Durata carico </t>
  </si>
  <si>
    <t>Fibre inferiori tese</t>
  </si>
  <si>
    <t>+ trazione</t>
  </si>
  <si>
    <t>- compressione</t>
  </si>
  <si>
    <t>+ fibre tese inferiori</t>
  </si>
  <si>
    <t>- fibre tese superiori</t>
  </si>
  <si>
    <t>Permanente</t>
  </si>
  <si>
    <t>Breve/Istantanea</t>
  </si>
  <si>
    <t>L-Fibre strati esterni perpendicolari alla linea di giunto</t>
  </si>
  <si>
    <t>Verifica</t>
  </si>
  <si>
    <t>Fibre superiori tese</t>
  </si>
  <si>
    <t>primo strato</t>
  </si>
  <si>
    <t>25% spessore</t>
  </si>
  <si>
    <t>Distanza della linea di viti basse dal bordo CLT</t>
  </si>
  <si>
    <t>Resistanza assiale - Calcestruzzo</t>
  </si>
  <si>
    <t>Resistanza assiale - Legno</t>
  </si>
  <si>
    <t>Resistenza a taglio - Legno</t>
  </si>
  <si>
    <t>Resistenza a taglio - Acciaio</t>
  </si>
  <si>
    <t>Rigidezza laterale per vite singola</t>
  </si>
  <si>
    <t>NOTE</t>
  </si>
  <si>
    <t>Prima della costruzione, tutti i calcoli devono essere verificati e approvati dal progettista responsabile.</t>
  </si>
  <si>
    <t>I valori di resistenza meccanica e la geometria si riferiscono alla certificazione del prodotto.</t>
  </si>
  <si>
    <t>Tutti i calcoli devono essere verificati e approvati dal progettista responsabile prima dell'esecuzione. Il progettista è tenuto a verificare, ad ogni utilizzo, la conformità dei dati alle normative vigenti e al progetto. La responsabilità ultima della scelta del prodotto appropriato per una specifica applicazione spetta al progettista.</t>
  </si>
  <si>
    <t>I risultati ottenuti in questa scheda sono di natura indicativa e vanno considerati come un servizio tecnico-commerciale nell'ambito dell'attività di vendita di Rotho Blaas srl. Il numero e lo spessore degli inserti devono essere determinati dal progettista responsabile che è tenuto a verificare l'esattezza dei risultati derivanti dall'elaborazione dei dati inseriti. Rotho Blaas srl non garantisce la conformità alla normativa vigente e la progettazione dei calcoli effettuati tramite questo foglio di calcolo. In particolare, in seguito alla modifica delle disposizioni pertinenti, quali ad esempio norme, approvazioni, ecc. il programma potrebbe diventare, in parte o in toto, non valido. Rotho Blaas srl non garantisce e non sarà responsabile per danni o conseguenze dirette o indirette o altro, in qualsiasi modo (garanzia per difetti, garanzia per malfunzionamento, responsabilità del prodotto o legale, ecc.) L'Utente dichiara di utilizzare il foglio di calcolo in qualità di professionista con l'obbligo e la responsabilità di verificare che il foglio di calcolo risponda alle sue specifiche esigenze.</t>
  </si>
  <si>
    <t>1. OGGETTO</t>
  </si>
  <si>
    <t>Con le presenti Condizioni Generali (o “Contratto”), ROTHO BLAAS SRL, con sede in I-39040 Cortaccia (BZ), Via dell’Adige 2/1 (d’ora in avanti “RB”) concede all’utente il diritto non esclusivo e revocabile di utilizzare, a titolo gratuito, il foglio di calcolo (d’ora in avanti “CALC”) alle condizioni di seguito indicate e per la durata del presente Contratto.
Il presente contratto regola pertanto il rapporto tra l’utente e RB relativamente all’utilizzo di detto foglio di calcolo. Nel momento in cui l’utente scarica e utilizza CALC, lo stesso accetta il presente Contratto e le condizioni riportate.
CALC permette all’utente di effettuare calcoli statici esclusivamente per i prodotti e materiali indicati in ciascuna sezione dello stesso. Il presente Contratto vieta espressamente l’uso di CALC per la realizzazione di prodotti che non sono indicati.
Nessuna garanzia sulla conformità legale ed al progetto dei calcoli è in ogni caso fornita da RB, che intende fornire esclusivamente uno strumento di calcolo indicativo quale servizio tecnico-commerciale nell’ambito dell’attività di vendita.</t>
  </si>
  <si>
    <t>2. RIFERIMENTI TECNICI</t>
  </si>
  <si>
    <t>3. DIRITTI E OBBLIGHI DI RB</t>
  </si>
  <si>
    <t>RB:
a) mette a disposizione dell’Utente CALC gratuitamente, così com’è;
b) non fornisce all’utente alcun supporto tecnico per l’utilizzo di CALC;
c) non garantisce la conformità di CALC alla normativa vigente né al progetto dei calcoli effettuati tramite lo stesso. In particolare, in seguito alla modifica delle disposizioni di pertinenza quali, per es. norme, omologazioni, ecc. il foglio di calcolo potrebbe diventare, in parte o per intero, non valido.
d) pur riservandosi il diritto di aggiornare, rivedere e sviluppare CALC, non assume alcun obbligo nei confronti dell’utente di verificare, correggere, completare o aggiornare il foglio di calcolo e/o rendere disponibili allo stesso gli aggiornamenti effettuati.</t>
  </si>
  <si>
    <t>4. DIRITTI E OBBLIGHI DELL'UTENTE</t>
  </si>
  <si>
    <t xml:space="preserve">L’Utente dichiara di utilizzare il foglio di calcolo in qualità di professionista escludendosi qualsiasi uso come consumatore, e di rispettare sempre i seguenti obblighi e divieti:
a) l’obbligo e la responsabilità di verificare che CALC soddisfi i propri bisogni specifici e sia compatibile con i propri hardware-software-sistemi;
b) l’obbligo di verificare, ad ogni utilizzo, la conformità dei calcoli effettuati tramite CALC alla normativa vigente ed al progetto;
c) l’obbligo di verificare la conformità legale dei calcoli effettuati tramite il Software;
d) L’obbligo di utilizzare l'ultima versione di CALC resa disponibile dal contatto di riferimento RB, controllando ad ogni utilizzo eventuali aggiornamenti;
e) il divieto di utilizzare CALC per prodotti non indicati in ciascuna sezione di calcolo;
f) l’obbligo di utilizzare software antivirus aggiornati e conformi allo standard industriale vigente;
g) l’obbligo di non cedere la licenza d’uso di CALC a terzi e/o in altro modo trasferire, dare in pegno o in locazione, affittare o condividere con altri o concedere in sublicenza i diritti di utilizzo del foglio di calcolo;
h) il divieto di modificare o variare in alcun modo CALC, anche tramite terzi.
L'utente si impegna a chiedere al referente di RB l'ultima versione di CALC. </t>
  </si>
  <si>
    <t>5. DIRITTI D'AUTORE</t>
  </si>
  <si>
    <t>I diritti d’autore sulle formulazioni di cui nel foglio di calcolo e tutti i diritti di proprietà intellettuale ed industriale sottesi a queste (quali in via puramente esemplificativa e non esaustiva: marchi, brevetti, segreti commerciali, know how, informazioni riservate) sono e restano di proprietà esclusiva di RB.
Il presente accordo non conferisce all’utente alcuno dei diritti di cui sopra.</t>
  </si>
  <si>
    <t xml:space="preserve">6. DURATA, RECESSO E CESSAZIONE </t>
  </si>
  <si>
    <t>Le presenti condizioni generali e, di conseguenza, la licenza d’uso del foglio di calcolo, sono validi dal momento del download dello stesso sino alla cessazione del suo utilizzo.
L’utente può recedere in qualsiasi momento dal presente Contratto eliminando CALC e tutte le eventuali copie dai suoi sistemi.
RB può recedere dal presente Contratto e disattivare il servizio in caso di infrazione di una qualsiasi delle disposizioni che regolano la licenza d’uso. Nel caso in cui RB comunichi la cessazione, l’utente dovrà provvedere ad eliminare il foglio di calcolo ed eventuali sue copie dai suoi sistemi.</t>
  </si>
  <si>
    <t>7. RESPONSABILITÀ</t>
  </si>
  <si>
    <t>L’utente è l’unico responsabile per l’uso di CALC, inclusi, ma non solo, tutti i calcoli, i tabulati, i dati di esportazioni con esso svolti e/o per gli errori di inserimento, per la protezione dei file di dati e per la manutenzione ed in generale per qualsiasi uso effettuato del foglio di calcolo.
RB non garantisce e in nessun caso potrà essere ritenuta responsabile in merito a danni, perdite e costi o altre conseguenze, a qualsiasi titolo (garanzia per vizi, garanzia per malfunzionamento, responsabilità del prodotto o di legge, etc.) derivanti da:
•   utilizzo di CALC, calcoli effettuati, conformità alla normativa vigente, al progetto o altre esigenze dell’Utente;
•   compatibilità hardware e software, virus, malfunzionamenti, difetti, errori o lacune;
•   mancato aggiornamento del foglio di calcolo e/o interruzione della messa a disposizione del foglio di calcolo e/o cessazione del contratto a qualsiasi titolo;
•   violazione di diritti di proprietà intellettuale di terzi.
L’utente conferma di aver compreso e accettato le esclusioni di responsabilità e le limitazioni di responsabilità e reclamo del presente Contratto. 
L’utente conferma inoltre che il foglio di calcolo è disponibile gratuitamente, che le esclusioni e le limitazioni sono elementi fondamentali del presente Contratto e che RB non rende disponibile il proprio foglio di calcolo all’utente nel caso in cui le esclusioni o le limitazioni vengono eliminate o modificate a favore dell’utente stesso.</t>
  </si>
  <si>
    <t>8. RIMBORSO</t>
  </si>
  <si>
    <t>L'utente accetta di tenere indenne e risarcire RB, le sue società affiliate e il suo o i suoi funzionari, direttori, dipendenti, successori, e incaricati (ciascuno singolarmente, ""Beneficiario"", collettivamente, i ""Beneficiari"") per i costi sostenuti in relazione a pretese avanzate da terzi per danni o perdite derivanti dall’utilizzo del foglio di calcolo da parte dell‘utente (compresi, ma non solo, onorari e spese di gestione sostenute da RB).</t>
  </si>
  <si>
    <t>9. VARIE</t>
  </si>
  <si>
    <t>Le presenti condizioni generali costituiscono l’intero accordo tra RB e l’utente per quanto riguarda la materia in oggetto e sostituiscono tutti gli accordi precedenti, orali o scritti che siano, nonché eventuali intese tra RB e l’utente.</t>
  </si>
  <si>
    <t>10. LINGUA</t>
  </si>
  <si>
    <t>In caso di divergenze tra versioni delle presenti condizioni nelle varie lingue, il testo italiano è vincolante e prevalente rispetto alle traduzioni.</t>
  </si>
  <si>
    <t>11. DIRITTO APPLICABILE E FORO COMPETENTE</t>
  </si>
  <si>
    <t>Il presente accordo e ogni rapporto tra le parti è regolato esclusivamente dal diritto italiano.
Ogni controversia che dovesse insorgere tra le parti in relazione al presente accordo, che le stesse non siano in grado di risolvere amichevolmente, sarà di esclusiva competenza del foro di Bolzano.</t>
  </si>
  <si>
    <t>12. PRIVACY</t>
  </si>
  <si>
    <t>CONDIZIONI GENERALI CONTRATTO DI LICENZA D’USO PER IL FOGLIO DI CALCOLO "TC_FUSION_CALCULATOR"</t>
  </si>
  <si>
    <t>TC-FUSION CALCULATOR</t>
  </si>
  <si>
    <t>ACCETTO</t>
  </si>
  <si>
    <t>Si rinvia alla privacy policy consultabile al link:</t>
  </si>
  <si>
    <t>https://www.rothoblaas.com/privacy-policy</t>
  </si>
  <si>
    <t>Language</t>
  </si>
  <si>
    <t>TC-FUSION CALCULATION</t>
  </si>
  <si>
    <t>General informations</t>
  </si>
  <si>
    <t>Date</t>
  </si>
  <si>
    <t>Project</t>
  </si>
  <si>
    <t>Designer</t>
  </si>
  <si>
    <t>Connection no.</t>
  </si>
  <si>
    <t>Standard</t>
  </si>
  <si>
    <t>Axial effective number (not required)</t>
  </si>
  <si>
    <t>Effective shear number (not necessary)</t>
  </si>
  <si>
    <t>Loads</t>
  </si>
  <si>
    <t>Load duration</t>
  </si>
  <si>
    <t>Joint length</t>
  </si>
  <si>
    <t>Lower tense fibers</t>
  </si>
  <si>
    <t>+ traction</t>
  </si>
  <si>
    <t>- compression</t>
  </si>
  <si>
    <t>+ lower tense fibers</t>
  </si>
  <si>
    <t>- upper tense fibers</t>
  </si>
  <si>
    <t>Permanent</t>
  </si>
  <si>
    <t>Panel composition</t>
  </si>
  <si>
    <t>Class</t>
  </si>
  <si>
    <t>No. Layers</t>
  </si>
  <si>
    <t>Type</t>
  </si>
  <si>
    <t>Thickness</t>
  </si>
  <si>
    <t>Orientation</t>
  </si>
  <si>
    <t>L-Outer layers fibers perpendicular to the joint line</t>
  </si>
  <si>
    <t>Screws</t>
  </si>
  <si>
    <t>Screw type</t>
  </si>
  <si>
    <t>Diameter</t>
  </si>
  <si>
    <t>Length</t>
  </si>
  <si>
    <t>Upper spacing</t>
  </si>
  <si>
    <t>Bottom spacing</t>
  </si>
  <si>
    <t>Board (Y/N)</t>
  </si>
  <si>
    <t>Number of upper screws/meter</t>
  </si>
  <si>
    <t>Number of lower screws/meter</t>
  </si>
  <si>
    <t>Minimum anchorage length (Concrete)</t>
  </si>
  <si>
    <t>Minimum overlap length (Concrete)</t>
  </si>
  <si>
    <t>Minimum penetration length (Timber)</t>
  </si>
  <si>
    <t>Edge distance a4t</t>
  </si>
  <si>
    <t>Minimum edge distance a4t</t>
  </si>
  <si>
    <t>Concrete class</t>
  </si>
  <si>
    <t>Longitudinal bars diameter</t>
  </si>
  <si>
    <t>Environmental exposure class</t>
  </si>
  <si>
    <t>Minimum longitudinal bars cover</t>
  </si>
  <si>
    <t>Longitudinal iron axis distance</t>
  </si>
  <si>
    <t>Minimum curb width</t>
  </si>
  <si>
    <t>Resistances</t>
  </si>
  <si>
    <t>Wood compression strength (design)</t>
  </si>
  <si>
    <t>Concrete compressive strength (design)</t>
  </si>
  <si>
    <t>min(T,CLS)</t>
  </si>
  <si>
    <t>Tension of adhesion</t>
  </si>
  <si>
    <t>Effective geometry</t>
  </si>
  <si>
    <t>Longitudinal bars axis distance</t>
  </si>
  <si>
    <t>Effective curb width</t>
  </si>
  <si>
    <t>Length of overlap</t>
  </si>
  <si>
    <t>Anchorage length</t>
  </si>
  <si>
    <t>Checking consistency of screw/rod position</t>
  </si>
  <si>
    <t>Upper edge screw distance</t>
  </si>
  <si>
    <t>Screw thread length in concrete (*)</t>
  </si>
  <si>
    <t>Screw thread length in timber</t>
  </si>
  <si>
    <t>Effective screw thread length in timber</t>
  </si>
  <si>
    <t>Distance between upper/lower screws</t>
  </si>
  <si>
    <t>(*) it is assumed that the screw penetrates the curb to the opposite reinforcement bar</t>
  </si>
  <si>
    <t>Verification</t>
  </si>
  <si>
    <t>Maximum action on single screw</t>
  </si>
  <si>
    <t>Single screw axial resistance timber/steel side</t>
  </si>
  <si>
    <t>Axial stress work ratio</t>
  </si>
  <si>
    <t>Maximum shear action</t>
  </si>
  <si>
    <t>Single screw shear strength</t>
  </si>
  <si>
    <t>Shear stress work ratio</t>
  </si>
  <si>
    <t>Combined shear-axial working ratio</t>
  </si>
  <si>
    <t>Concrete side anchorage verification</t>
  </si>
  <si>
    <t>Effective length</t>
  </si>
  <si>
    <t>Minimum anchor length</t>
  </si>
  <si>
    <t>Degree of utilization</t>
  </si>
  <si>
    <t>Minimum overlap length</t>
  </si>
  <si>
    <t>Stiffnesses</t>
  </si>
  <si>
    <t>Shear stiffness</t>
  </si>
  <si>
    <t>Axial stiffness</t>
  </si>
  <si>
    <t>Neutral axis calculation - Bending</t>
  </si>
  <si>
    <t>Bending moment with respect to screws</t>
  </si>
  <si>
    <t>Neutral axis</t>
  </si>
  <si>
    <t>Compressed portion first lamella</t>
  </si>
  <si>
    <t>Compressed portion second lamella</t>
  </si>
  <si>
    <t>Compressed portion third lamella</t>
  </si>
  <si>
    <t>Resulting position</t>
  </si>
  <si>
    <t>Lever arm</t>
  </si>
  <si>
    <t>Stress calculation</t>
  </si>
  <si>
    <t>Maximum action on all screws</t>
  </si>
  <si>
    <t>Maximum action on single screw (*)</t>
  </si>
  <si>
    <t>Maximum in-plane screw action on single top screw</t>
  </si>
  <si>
    <t>Maximum in-plane screw action on single lower screw</t>
  </si>
  <si>
    <t>Maximum out-of-plane screw action on single top screw</t>
  </si>
  <si>
    <t>Maximum out-of-plane screw action on single lower screw</t>
  </si>
  <si>
    <t>Combined action on single upper screw</t>
  </si>
  <si>
    <t>Combined action on single lower screw</t>
  </si>
  <si>
    <t>(*) traction is considered to be absorbed only by the screws on the lower line</t>
  </si>
  <si>
    <t>Upper tense fibers</t>
  </si>
  <si>
    <t>Single screw axial capacity timber/steel side</t>
  </si>
  <si>
    <t>Single screw shear capacity</t>
  </si>
  <si>
    <t>Required anchor length</t>
  </si>
  <si>
    <t>Overlap length</t>
  </si>
  <si>
    <t>Shear and bending stiffness</t>
  </si>
  <si>
    <t>25% thickness</t>
  </si>
  <si>
    <t>Compressed length calculation by stiffness</t>
  </si>
  <si>
    <t>Reference bending moment</t>
  </si>
  <si>
    <t>Reference force on screws</t>
  </si>
  <si>
    <t>Reference width</t>
  </si>
  <si>
    <t>Compressive stiffness</t>
  </si>
  <si>
    <t>Screws in tension area</t>
  </si>
  <si>
    <t>Deformation of the compressed zone</t>
  </si>
  <si>
    <t>Deformation of fasteners</t>
  </si>
  <si>
    <t>Unit angle of rotation</t>
  </si>
  <si>
    <t>editable cells</t>
  </si>
  <si>
    <t>Distance of the low screw line from the edge CLT</t>
  </si>
  <si>
    <t>Board</t>
  </si>
  <si>
    <t>Longitudinal bar position</t>
  </si>
  <si>
    <t>Longitudinal bar (1/2 dia.)</t>
  </si>
  <si>
    <t>Screw (1/2 dia.)</t>
  </si>
  <si>
    <t>Minimum required bars cover [mm]</t>
  </si>
  <si>
    <t>Structural class</t>
  </si>
  <si>
    <t>Distance from the axis of the longitudinal bars</t>
  </si>
  <si>
    <t>Pannels</t>
  </si>
  <si>
    <t>timber connection coeff.</t>
  </si>
  <si>
    <t>steel material coeff.</t>
  </si>
  <si>
    <t>concrete material coeff.</t>
  </si>
  <si>
    <t>AXIAL CAPACITY - CONCRETE</t>
  </si>
  <si>
    <t>AXIAL CAPACITY - TIMBER</t>
  </si>
  <si>
    <t>SHEAR CAPACITY - TIMBER</t>
  </si>
  <si>
    <t>SHEAR CAPACITY - STEEL</t>
  </si>
  <si>
    <t>Lateral stiffness for single screw</t>
  </si>
  <si>
    <t>NOTES</t>
  </si>
  <si>
    <t>Before the construction, all calculation must be verified and approved by the responsible designer.</t>
  </si>
  <si>
    <t>Mechanical resistance values and geometry refer to product certification.</t>
  </si>
  <si>
    <t>All calculations must be verified and approved by the responsible designer prior to execution. The designer are responsible to verify, at each use, the conformity of the data to the regulations in force and to the project. The ultimate responsibility for choosing the appropriate product for a specific application lies with the designer.</t>
  </si>
  <si>
    <t>The results obtained in this sheet are of an indicative nature and should be considered as a technical-commercial service within the Rotho Blaas srl sales activity. The number and thickness of the inserts must be determined by the responsible designer who is required to check the accuracy of the results deriving from the processing of the data entered. Rotho Blaas srl does not guarantee compliance with current legislation and the design of the calculations made through this spreadsheet. In particular, following the amendment of the pertinent provisions such as, for example standards, approvals, etc. the program may become, in part or in whole, invalid. Rotho Blaas srl does not guarantee and will not be responsible for direct or indirect damages or consequences or other, in any way (warranty for defects, warranty for malfunction, product or legal responsibility, etc.). The User declares to use the spreadsheet as a professional with the obligation and responsibility to verify that the spreadsheet meets his specific needs.</t>
  </si>
  <si>
    <t>Distance from the edge screws</t>
  </si>
  <si>
    <t>With these General Terms and Conditions (or "Agreement"), ROTHO BLAAS SRL, with registered office at I-39040 Cortaccia (BZ), Via dell'Adige 2/1 (hereinafter "RB") grants the user the non-exclusive and revocable right to use the spreadsheet (hereinafter "XLS") free of charge under the following conditions and during the term of this Agreement.
In any case, RB does not guarantee the legal and design conformity of the calculations, as RB intends to provide only an indicative calculation tool to be considered as a technical-commercial service within the sales activity.
XLS allows the user to perform static calculations only for the products and materials indicated in each of its sections. This Agreement expressly prohibits to use XLS to manufacture products that are not indicated.
This Agreement therefore governs the relationship between the User and RB with respect to the use of this spreadsheet. By downloading and using XLS, the user accepts this Agreement and the conditions set out herein.</t>
  </si>
  <si>
    <t>2. TECHNICAL-STANDARDS REFERENCES</t>
  </si>
  <si>
    <t>3. RB RIGHTS AND OBLIGATIONS</t>
  </si>
  <si>
    <t>RB:
a) makes available XLS to the User free of charge, as it is;
b) does not provide the user with any technical support for using XLS;
c) does not guarantee that XLS complies with the regulations in force or with the calculations design made using it. In particular, as a result of changes to the relevant provisions, such as standards, approvals, etc., the spreadsheet may become invalid in part or in full.
d) while reserving the right to update, revise and develop XLS, RB does not assume any obligation towards the user to verify, correct, complete or update the spreadsheet and/or make the updates available to the user.</t>
  </si>
  <si>
    <t>4. USER RIGHTS AND OBLIGATIONS</t>
  </si>
  <si>
    <t>The User declares to use the spreadsheet as a professional excluding any use as a consumer, and to always comply with the following obligations and prohibitions:
a) obligation and responsibility to verify that XLS meets the specific needs and that it is compatible with the hardware-software-systems;
b) obligation to verify, for each use, the compliance of the calculations made through XLS to the regulations in force and to the project;
c) obligation to verify the legal compliance of the calculations made through the Software;
d) obligation to use the latest version of XLS made available by the RB contact person, checking at each use for any updates that have occurred;
e) prohibition to use XLS for products not indicated in each calculation section;
f) obligation to use updated antivirus software that complies with the industry standard in force;
g) obligation not to assign the licence to use XLS to third parties and/or in any other way transfer, pledge or lease, rent or share with others or sublicense the rights to use the spreadsheet;
h) prohibition to modify or vary XLS in any way, including through third parties.
The user commits himself to ask the RB contact person for the last version of the XLS.</t>
  </si>
  <si>
    <t>5. COPYRIGHTS</t>
  </si>
  <si>
    <t>The copyrights on the formulations referred to in the spreadsheet and all the intellectual and industrial property rights underlying them (such as, but not limited to: trademarks, patents, trade secrets, know-how, confidential information) are and remain the exclusive property of RB. 
This agreement does not transfer any of the above rights to the user.</t>
  </si>
  <si>
    <t>6. DURATION, WITHDRAWAL AND TERMINATION</t>
  </si>
  <si>
    <t>These general conditions and, consequently, the licence to use the spreadsheet, are valid from the moment of downloading it until the termination of its use.
The user may withdraw from this Agreement at any time by deleting the XLS and all copies from its systems.
RB may withdraw from this Agreement and deactivate the service in the event of a breach of any of the provisions governing the license of use. In the event that RB notifies its termination, the user shall remove the spreadsheet and any copies thereof from its systems.</t>
  </si>
  <si>
    <t>7. RESPONSIBILITY</t>
  </si>
  <si>
    <t>The user is solely responsible for the use of XLS, including, but not limited to, all calculations, printouts, export data made with it and/or for entry errors, protection of data files and maintenance and in general for any use of the spreadsheet.
RB does not guarantee and in no case can be held responsible for damages, losses and costs or other consequences, for any reason (warranty for defects, warranty for malfunction, product or legal responsibility, etc.) deriving from:
•   use of XLS, calculations made, compliance with current legislation, with the design or other User needs;
•   hardware and software compatibility, viruses, malfunctions, defects, errors or gaps;
•   failure to update the spreadsheet and/or interruption of the availability of the spreadsheet and/or termination of the agreement for any reason;
•   infringement of intellectual property rights of third parties.
The user confirms to have understood and accepted the disclaimers and limitations of liability and claim of this Agreement. The user also confirms that the spreadsheet is available for free, that the exclusions and limitations are fundamental elements of this Agreement and that RB does not make its spreadsheet available to the user if the exclusions or limitations are deleted or modified in favour of the user.</t>
  </si>
  <si>
    <t>8. REFUND</t>
  </si>
  <si>
    <t>The user agrees to indemnify and hold harmless RB, its subsidiaries and its or its officers, directors, employees, successors and appointees (each individually, ""Beneficiary"", collectively, the ""Beneficiaries"") for the costs incurred in relation to claims made by third parties for damages or losses deriving from the use of the spreadsheet by the user (including, but not limited to, fees and management costs incurred by RB).</t>
  </si>
  <si>
    <t>9. MISCELLANEOUS</t>
  </si>
  <si>
    <t>These general conditions constitute the entire agreement between RB and the user regarding the subject matter and replace all previous, oral or written agreements, as well as any agreements between RB and the user.</t>
  </si>
  <si>
    <t>10. LANGUAGE</t>
  </si>
  <si>
    <t>In the event of differences between versions of these conditions in the various languages, the Italian text is binding and takes precedence with respect to the translations.</t>
  </si>
  <si>
    <t>11. APPLICABLE LAW AND COURT OF JURISDICTION</t>
  </si>
  <si>
    <t>This agreement and any relationship between the parties is governed exclusively by the Italian law. 
Any dispute that may arise between the parties in relation to this agreement, that cannot be resolved amicably, shall be brought before the court of Bolzano.</t>
  </si>
  <si>
    <t>1. SUBJECT</t>
  </si>
  <si>
    <t>Refer to the privacy policy available at the link:</t>
  </si>
  <si>
    <t>ACCEPT</t>
  </si>
  <si>
    <t>Stirrups diameter</t>
  </si>
  <si>
    <t>Minimum stirrups cover</t>
  </si>
  <si>
    <t>Tolerance on stirrup curvature</t>
  </si>
  <si>
    <t>RB ha svolto le verifiche secondo il metodo degli Stati Limite in accordo EN 1995-1-1 Eurocodice 5-Progettazione delle strutture di legno ed EN 1992-1-1 Eurocodice 2-Progettazione delle strutture di calcestruzzo. Per i valori di resistenza meccanica e per la geometria del sistema si è fatto riferimento a quanto riportato in ETA-22/0806.</t>
  </si>
  <si>
    <t>RB carried out the checks according to the Limit State method in accordance with EN 1995-1-1 Eurocode 5 - Design of timber structures and EN 1992-1-1 Eurocode 2 - Design of concrete structures. For the mechanical resistance values and the geometry of the connectors, reference was made to ETA-22/0806.</t>
  </si>
  <si>
    <t>(*) per dimensioni dell'aggregato superiori ai 15 mm valutare le condizioni di posa del getto di calcestruzzo</t>
  </si>
  <si>
    <t>TC-FUSION</t>
  </si>
  <si>
    <t>EC 1992-1-1</t>
  </si>
  <si>
    <t>Conversion factor</t>
  </si>
  <si>
    <t>Rigidezza rotazionale (*)</t>
  </si>
  <si>
    <t>Rotational stiffness (*)</t>
  </si>
  <si>
    <t>(*) for aggregate size larger than 15 mm, evaluate the concrete pouring conditions</t>
  </si>
  <si>
    <t>(*) double the stiffness in case of non-symmetrical connection with single plane of connection</t>
  </si>
  <si>
    <t>(*) raddoppiare la rigidezza in caso di connessione non simmetrica con singolo piano di collegamento</t>
  </si>
  <si>
    <t>Verification of concrete side anchoring system capacity must be carried out separately following ETA-22/0806 - Annex E1.</t>
  </si>
  <si>
    <t>La verifica della resistenza del sistema lato ancoraggio al calcestruzzo devono essere realizzata a parte seguendo quanto indicato in ETA-22/0806 - Annex E1.</t>
  </si>
  <si>
    <t>VGS_11</t>
  </si>
  <si>
    <t>VGS_11_450</t>
  </si>
  <si>
    <t>L_7</t>
  </si>
  <si>
    <t>260mm - 7s - 40 40 30 40 30 40 40</t>
  </si>
  <si>
    <t>T</t>
  </si>
  <si>
    <t>T-Fibre strati esterni paralleli alla linea di giunto</t>
  </si>
  <si>
    <t>T-Outer layers fibers parallel to the joint line</t>
  </si>
  <si>
    <t>ETA-22/0806</t>
  </si>
  <si>
    <t>ETA-11/0030</t>
  </si>
  <si>
    <t>Diametro aggregato (*)</t>
  </si>
  <si>
    <t>Aggregate diameter (*)</t>
  </si>
  <si>
    <t>DE</t>
  </si>
  <si>
    <t>ES</t>
  </si>
  <si>
    <t>FR</t>
  </si>
  <si>
    <t>PT</t>
  </si>
  <si>
    <t>Selection:</t>
  </si>
  <si>
    <t>Copriferro minimo richiesto</t>
  </si>
  <si>
    <t>Minimum bars cover required</t>
  </si>
  <si>
    <t>Legno</t>
  </si>
  <si>
    <t>Timber</t>
  </si>
  <si>
    <t>Long-term</t>
  </si>
  <si>
    <t>Medium-term</t>
  </si>
  <si>
    <t>Short-term</t>
  </si>
  <si>
    <t>Istantaneous</t>
  </si>
  <si>
    <t>Short/Instantaneous</t>
  </si>
  <si>
    <t>Coefficiente</t>
  </si>
  <si>
    <t>Coefficient</t>
  </si>
  <si>
    <t>Verifications</t>
  </si>
  <si>
    <t>Sprache</t>
  </si>
  <si>
    <t>Idioma</t>
  </si>
  <si>
    <t>Langue</t>
  </si>
  <si>
    <t>BERECHNUNG TC FUSION</t>
  </si>
  <si>
    <t>CÁLCULO TC FUSION</t>
  </si>
  <si>
    <t>CALCUL TC-FUSION</t>
  </si>
  <si>
    <t>CÁLCULO TC-FUSION</t>
  </si>
  <si>
    <t xml:space="preserve">Allgemeine Informationen </t>
  </si>
  <si>
    <t xml:space="preserve">Información general </t>
  </si>
  <si>
    <t xml:space="preserve">Informations générales </t>
  </si>
  <si>
    <t xml:space="preserve">Informações gerais </t>
  </si>
  <si>
    <t>Datum</t>
  </si>
  <si>
    <t>Fecha</t>
  </si>
  <si>
    <t>Projekt</t>
  </si>
  <si>
    <t>Proyecto</t>
  </si>
  <si>
    <t>Projet</t>
  </si>
  <si>
    <t>Projeto</t>
  </si>
  <si>
    <t>Planer</t>
  </si>
  <si>
    <t>Proyectista</t>
  </si>
  <si>
    <t>Concepteur</t>
  </si>
  <si>
    <t>Projetista</t>
  </si>
  <si>
    <t>Verbindung Nr.</t>
  </si>
  <si>
    <t>Conexión n.º</t>
  </si>
  <si>
    <t>Connexion n°</t>
  </si>
  <si>
    <t>Ligação n.º</t>
  </si>
  <si>
    <t>Norm</t>
  </si>
  <si>
    <t>Norme</t>
  </si>
  <si>
    <t>Número eficaz axial (no necesario)</t>
  </si>
  <si>
    <t>Nombre efficace axial (non nécessaire)</t>
  </si>
  <si>
    <t>Número efetivo axial (não necessário)</t>
  </si>
  <si>
    <t>Número eficaz al corte (no necesario)</t>
  </si>
  <si>
    <t>Nombre efficace au cisaillement (non nécessaire)</t>
  </si>
  <si>
    <t>Número efetivo de corte (não necessário)</t>
  </si>
  <si>
    <t>Beanspruchungen</t>
  </si>
  <si>
    <t>Solicitaciones</t>
  </si>
  <si>
    <t>Sollicitations</t>
  </si>
  <si>
    <t>Carregamentos</t>
  </si>
  <si>
    <t xml:space="preserve">Lasteinwirkungsdauer </t>
  </si>
  <si>
    <t xml:space="preserve">Duración de la carga </t>
  </si>
  <si>
    <t xml:space="preserve">Durée de la charge </t>
  </si>
  <si>
    <t xml:space="preserve">Duração da carga </t>
  </si>
  <si>
    <t>Länge Verbindung</t>
  </si>
  <si>
    <t>Longitud de la unión</t>
  </si>
  <si>
    <t>Longueur de l’assemblage</t>
  </si>
  <si>
    <t>Comprimento da junta</t>
  </si>
  <si>
    <t>Fibras inferiores en tracción</t>
  </si>
  <si>
    <t>Fibres inférieures tendues</t>
  </si>
  <si>
    <t>Fibras inferiores tensionadas</t>
  </si>
  <si>
    <t>+ Zugkraft</t>
  </si>
  <si>
    <t>+ tracción</t>
  </si>
  <si>
    <t>+ tração</t>
  </si>
  <si>
    <t>- Druckkraft</t>
  </si>
  <si>
    <t>- compresión</t>
  </si>
  <si>
    <t>- compressão</t>
  </si>
  <si>
    <t>+ fibras inferiores en tracción</t>
  </si>
  <si>
    <t>+ fibres tendues inférieures</t>
  </si>
  <si>
    <t>+ fibras tensionadas inferiores</t>
  </si>
  <si>
    <t>- fibras superiores en tracción</t>
  </si>
  <si>
    <t>- fibres tendues supérieures</t>
  </si>
  <si>
    <t>- fibras tensionadas superiores</t>
  </si>
  <si>
    <t>Dauerhaft</t>
  </si>
  <si>
    <t>Lang</t>
  </si>
  <si>
    <t>Larga</t>
  </si>
  <si>
    <t>Longue</t>
  </si>
  <si>
    <t>Longa</t>
  </si>
  <si>
    <t>Mittel</t>
  </si>
  <si>
    <t>Moyenne</t>
  </si>
  <si>
    <t>Média</t>
  </si>
  <si>
    <t>Kurz</t>
  </si>
  <si>
    <t>Corta</t>
  </si>
  <si>
    <t>Courte</t>
  </si>
  <si>
    <t>Curta</t>
  </si>
  <si>
    <t>Sofort wirkend</t>
  </si>
  <si>
    <t>Instantánea</t>
  </si>
  <si>
    <t>Instantanée</t>
  </si>
  <si>
    <t>Instantânea</t>
  </si>
  <si>
    <t>Kurz/Sofort wirkend</t>
  </si>
  <si>
    <t>Corta/Instantánea</t>
  </si>
  <si>
    <t>Brève/Instantanée</t>
  </si>
  <si>
    <t>Curta/Instantânea</t>
  </si>
  <si>
    <t>Zusammensetzung Platte</t>
  </si>
  <si>
    <t>Composición del panel</t>
  </si>
  <si>
    <t>Composition du panneau</t>
  </si>
  <si>
    <t>Composição do painel</t>
  </si>
  <si>
    <t>Klasse</t>
  </si>
  <si>
    <t>Clase</t>
  </si>
  <si>
    <t>Anz. Schichten</t>
  </si>
  <si>
    <t>Número de capas</t>
  </si>
  <si>
    <t>N° de couches</t>
  </si>
  <si>
    <t>N.º camadas</t>
  </si>
  <si>
    <t>Typ</t>
  </si>
  <si>
    <t>Stärke</t>
  </si>
  <si>
    <t>Espesor</t>
  </si>
  <si>
    <t>Épaisseur</t>
  </si>
  <si>
    <t>Espessura</t>
  </si>
  <si>
    <t xml:space="preserve">Ausrichtung </t>
  </si>
  <si>
    <t xml:space="preserve">Orientación </t>
  </si>
  <si>
    <t xml:space="preserve">Orientation </t>
  </si>
  <si>
    <t xml:space="preserve">Orientação </t>
  </si>
  <si>
    <t>L-Fasern äußere Schichten senkrecht zur Verbindungslinie</t>
  </si>
  <si>
    <t>L-Fibras capas externas perpendiculares a la línea de unión</t>
  </si>
  <si>
    <t>L-Fibre couches externes perpendiculaires à la ligne de l'assemblage</t>
  </si>
  <si>
    <t>L-Fibras das camadas exteriores perpendiculares à linha de junção</t>
  </si>
  <si>
    <t>T-Fasern äußere Schichten parallel zur Verbindungslinie</t>
  </si>
  <si>
    <t>T-Fibras capas externas paralelas a la línea de unión</t>
  </si>
  <si>
    <t>T-Fibre couches externes parallèles à la ligne de l'assemblage</t>
  </si>
  <si>
    <t>T-Fibras das camadas exteriores paralelas à linha de junção</t>
  </si>
  <si>
    <t>Schrauben</t>
  </si>
  <si>
    <t>Tornillos</t>
  </si>
  <si>
    <t>Vis</t>
  </si>
  <si>
    <t>Parafusos</t>
  </si>
  <si>
    <t>Tipo de tornillo</t>
  </si>
  <si>
    <t>Type de vis</t>
  </si>
  <si>
    <t>Tipo de parafuso</t>
  </si>
  <si>
    <t>Durchmesser</t>
  </si>
  <si>
    <t>Diámetro</t>
  </si>
  <si>
    <t>Diamètre</t>
  </si>
  <si>
    <t>Diâmetro</t>
  </si>
  <si>
    <t xml:space="preserve">Länge </t>
  </si>
  <si>
    <t xml:space="preserve">Longitud </t>
  </si>
  <si>
    <t xml:space="preserve">Longueur </t>
  </si>
  <si>
    <t xml:space="preserve">Comprimento </t>
  </si>
  <si>
    <t>Oberer Abstand</t>
  </si>
  <si>
    <t>Separación superior</t>
  </si>
  <si>
    <t>Espacement supérieur</t>
  </si>
  <si>
    <t>Espaçamento superior</t>
  </si>
  <si>
    <t>Unterer Abstand</t>
  </si>
  <si>
    <t>Separación inferior</t>
  </si>
  <si>
    <t>Espacement inférieur</t>
  </si>
  <si>
    <t>Espaçamento inferior</t>
  </si>
  <si>
    <t>Tabla (Y/N)</t>
  </si>
  <si>
    <t>Lame (Y/N)</t>
  </si>
  <si>
    <t>Tabela (S/N)</t>
  </si>
  <si>
    <t>Anzahl obere Schrauben/Meter</t>
  </si>
  <si>
    <t>Número de tornillos superiores/metro</t>
  </si>
  <si>
    <t>Nombre de vis supérieures/mètre</t>
  </si>
  <si>
    <t>Número de parafusos superiores/metro</t>
  </si>
  <si>
    <t>Anzahl untere Schrauben/Meter</t>
  </si>
  <si>
    <t>Número de tornillos inferiores/metro</t>
  </si>
  <si>
    <t>Nombre de vis inférieures/mètre</t>
  </si>
  <si>
    <t>Número de parafusos inferiores/metro</t>
  </si>
  <si>
    <t>Longitud del anclaje mínima (hormigón)</t>
  </si>
  <si>
    <t>Longueur ancrage minimum (Concrete)</t>
  </si>
  <si>
    <t>Comprimento mínimo de ancoragem (Concrete)</t>
  </si>
  <si>
    <t>Longitud de superposición mínima (hormigón)</t>
  </si>
  <si>
    <t>Longueur de superposition minimum (Concrete)</t>
  </si>
  <si>
    <t>Comprimento mínimo de sobreposição (Concrete)</t>
  </si>
  <si>
    <t>Longitud de penetración mínima (timber)</t>
  </si>
  <si>
    <t>Longueur de pénétration minimum (Timber)</t>
  </si>
  <si>
    <t>Comprimento mínimo de penetração (Timber)</t>
  </si>
  <si>
    <t>Randabstand a4t</t>
  </si>
  <si>
    <t>Distancia borde a4t</t>
  </si>
  <si>
    <t>Distance bord a4t</t>
  </si>
  <si>
    <t>Distância do bordo a4t</t>
  </si>
  <si>
    <t>Minimaler Randabstand a4t</t>
  </si>
  <si>
    <t>Distancia mínima borde a4t</t>
  </si>
  <si>
    <t>Distance minimum bord a4t</t>
  </si>
  <si>
    <t>Distância mínima do bordo a4t</t>
  </si>
  <si>
    <t>Beton</t>
  </si>
  <si>
    <t>Hormigón</t>
  </si>
  <si>
    <t>Béton</t>
  </si>
  <si>
    <t>Betão</t>
  </si>
  <si>
    <t>Klasse Beton</t>
  </si>
  <si>
    <t>Clase de hormigón</t>
  </si>
  <si>
    <t>Classe du béton</t>
  </si>
  <si>
    <t>Classe do betão</t>
  </si>
  <si>
    <t>Durchmesser Bügel</t>
  </si>
  <si>
    <t>Diámetro estribos</t>
  </si>
  <si>
    <t>Diamètre étriers</t>
  </si>
  <si>
    <t>Diâmetro do estribo</t>
  </si>
  <si>
    <t>Durchmesser Längseisen</t>
  </si>
  <si>
    <t>Diámetro barras longitudinales</t>
  </si>
  <si>
    <t>Diamètre barres longitudinales</t>
  </si>
  <si>
    <t>Diâmetro da armadura longitudinais</t>
  </si>
  <si>
    <t>Diámetro áridos (*)</t>
  </si>
  <si>
    <t>Diamètre agrégat (*)</t>
  </si>
  <si>
    <t>Diâmetro do agregado (*)</t>
  </si>
  <si>
    <t>Klasse Umweltexposition</t>
  </si>
  <si>
    <t>Clase de exposición ambiental</t>
  </si>
  <si>
    <t>Classe d’exposition environnementale</t>
  </si>
  <si>
    <t>Classe de exposição ambiental</t>
  </si>
  <si>
    <t>Min. Betondeckung Bügel</t>
  </si>
  <si>
    <t>Recubrimiento mínimo estribos</t>
  </si>
  <si>
    <t>Enrobage minimum étriers</t>
  </si>
  <si>
    <t>Cobrimento mínimo dos estribros</t>
  </si>
  <si>
    <t>Recubrimiento mínimo barras longitudinales</t>
  </si>
  <si>
    <t>Enrobage minimum barres longitudinales</t>
  </si>
  <si>
    <t>Cobrimento mínimo das barras longitudinais</t>
  </si>
  <si>
    <t>Abstand Achse Längseisen</t>
  </si>
  <si>
    <t>Distancia eje barras longitudinales</t>
  </si>
  <si>
    <t>Distance axe barres longitudinales</t>
  </si>
  <si>
    <t>Distância do eixo dos ferros longitudinais</t>
  </si>
  <si>
    <t>Min. Breite Aufkantung</t>
  </si>
  <si>
    <t>Anchura mínima dala</t>
  </si>
  <si>
    <t>Largeur minimum bordure</t>
  </si>
  <si>
    <t>Largura mínima do lancil</t>
  </si>
  <si>
    <t>Festigkeiten</t>
  </si>
  <si>
    <t>Resistencias</t>
  </si>
  <si>
    <t>Résistances</t>
  </si>
  <si>
    <t>Resistências</t>
  </si>
  <si>
    <t>Druckfestigkeit Holz (Design)</t>
  </si>
  <si>
    <t>Resistencia a la compresión madera (diseño)</t>
  </si>
  <si>
    <t>Résistance à la compression bois (design)</t>
  </si>
  <si>
    <t>Resistência à compressão madeira (design)</t>
  </si>
  <si>
    <t>Druckfestigkeit Beton (Design)</t>
  </si>
  <si>
    <t>Resistencia a la compresión hormigón (diseño)</t>
  </si>
  <si>
    <t>Résistance à la compression béton CLS (design)</t>
  </si>
  <si>
    <t>Resistência à compressão CLS (design)</t>
  </si>
  <si>
    <t>Verbundspannung</t>
  </si>
  <si>
    <t>Tensión de adhesión</t>
  </si>
  <si>
    <t>Tension d’adhérence</t>
  </si>
  <si>
    <t>Tensão de aderência</t>
  </si>
  <si>
    <t>Wirksame Geometrie</t>
  </si>
  <si>
    <t>Geometría efectiva</t>
  </si>
  <si>
    <t>Géométrie effective</t>
  </si>
  <si>
    <t>Geometria efetiva</t>
  </si>
  <si>
    <t>Longitud efectiva dala</t>
  </si>
  <si>
    <t>Largeur effective bordure</t>
  </si>
  <si>
    <t>Largura efetiva do lancil</t>
  </si>
  <si>
    <t>Länge Überlappung</t>
  </si>
  <si>
    <t>Longitud de superposición</t>
  </si>
  <si>
    <t>Longueur de superposition</t>
  </si>
  <si>
    <t>Comprimento de sobreposição</t>
  </si>
  <si>
    <t>Länge Verankerung</t>
  </si>
  <si>
    <t>Longitud de anclaje</t>
  </si>
  <si>
    <t>Longueur d’ancrage</t>
  </si>
  <si>
    <t>Comprimento de ancoragem</t>
  </si>
  <si>
    <t>Distancia desde el borde real tornillos</t>
  </si>
  <si>
    <t>Distance du bord réel des vis</t>
  </si>
  <si>
    <t>Distância do bordo real dos parafusos</t>
  </si>
  <si>
    <t>Comprobación coherencia posición tornillos/barras</t>
  </si>
  <si>
    <t>Vérification cohérence position vis/barres</t>
  </si>
  <si>
    <t>Verificação da coerência da posição dos parafusos/ferros</t>
  </si>
  <si>
    <t>Abstand Schrauben oberer Rand</t>
  </si>
  <si>
    <t>Distancia tornillos borde superior</t>
  </si>
  <si>
    <t>Distance vis section supérieure</t>
  </si>
  <si>
    <t>Distância dos parafusos da aba superior</t>
  </si>
  <si>
    <t>Länge Schraubengewinde BET(*)</t>
  </si>
  <si>
    <t>Longitud rosca tornillo HORM (*)</t>
  </si>
  <si>
    <t>Longueur filetage vis CA (*)</t>
  </si>
  <si>
    <t>Comprimento da rosca do parafuso CA (*)</t>
  </si>
  <si>
    <t>Länge Schraubengewinde Holz</t>
  </si>
  <si>
    <t>Longitud rosca tornillo Madera</t>
  </si>
  <si>
    <t>Longueur filetage vis Bois</t>
  </si>
  <si>
    <t>Comprimento da rosca do parafuso Madeira</t>
  </si>
  <si>
    <t>Wirksame Länge Schraubengewinde Holz</t>
  </si>
  <si>
    <t>Longitud eficaz rosca tornillo Madera</t>
  </si>
  <si>
    <t>Longueur efficace filetage vis Bois</t>
  </si>
  <si>
    <t>Comprimento eficaz da rosca do parafuso Madeira</t>
  </si>
  <si>
    <t>Abstand zwischen oberen/unteren Schrauben</t>
  </si>
  <si>
    <t>Distancia entre tornillos superiores/inferiores</t>
  </si>
  <si>
    <t>Distance entre vis supérieures/inférieures</t>
  </si>
  <si>
    <t>Distância entre os parafusos superiores/inferiores</t>
  </si>
  <si>
    <t>(*) Se supone que el tornillo penetra en la dala hasta la barra de armadura opuesta</t>
  </si>
  <si>
    <t>(*) nous supposons que la vis pénètre dans la bordure jusqu'à la barre d'armature opposée</t>
  </si>
  <si>
    <t>(*) assume-se que o parafuso penetra no lancil até à barra de armadura oposta</t>
  </si>
  <si>
    <t>Überprüfung</t>
  </si>
  <si>
    <t>Comprobación</t>
  </si>
  <si>
    <t>Vérification</t>
  </si>
  <si>
    <t>Verificação</t>
  </si>
  <si>
    <t>Max. Wirkung auf einzelne Schraube</t>
  </si>
  <si>
    <t>Acción máxima en un solo tornillo</t>
  </si>
  <si>
    <t>Action maximale sur chaque vis</t>
  </si>
  <si>
    <t>Ação máxima num único parafuso</t>
  </si>
  <si>
    <t>Axiale Festigkeit einzelne Schraube Seite Holz/Stahl</t>
  </si>
  <si>
    <t>Resistencia axial un solo tornillo lado madera/acero</t>
  </si>
  <si>
    <t>Résistance axiale d’une vis côté bois/acier</t>
  </si>
  <si>
    <t>Resistência axial num único parafuso lado madeira/aço</t>
  </si>
  <si>
    <t xml:space="preserve">Axiale Beanspruchung </t>
  </si>
  <si>
    <t xml:space="preserve">Coeficiente de trabajo esfuerzo axial </t>
  </si>
  <si>
    <t xml:space="preserve">Taux de travail effort axial </t>
  </si>
  <si>
    <t xml:space="preserve">Taxa de trabalho esforço axial </t>
  </si>
  <si>
    <t>Max. Scherkraft</t>
  </si>
  <si>
    <t>Máxima acción de corte</t>
  </si>
  <si>
    <t>Action tranchante maximale</t>
  </si>
  <si>
    <t>Ação de corte máxima</t>
  </si>
  <si>
    <t xml:space="preserve">Scherfestigkeit einzelne Schraube </t>
  </si>
  <si>
    <t xml:space="preserve">Resistencia al corte de un solo tornillo </t>
  </si>
  <si>
    <t xml:space="preserve">Résistance au cisaillement de chaque vis </t>
  </si>
  <si>
    <t xml:space="preserve">Resistência ao corte de cada parafuso </t>
  </si>
  <si>
    <t xml:space="preserve">Scherbeanspruchung </t>
  </si>
  <si>
    <t xml:space="preserve">Coeficiente de trabajo esfuerzo corte </t>
  </si>
  <si>
    <t xml:space="preserve">Taux de travail effort au cisaillement </t>
  </si>
  <si>
    <t xml:space="preserve">Taxa de trabalho esforço de corte </t>
  </si>
  <si>
    <t xml:space="preserve">Kombinierte Scher-Zug-Beanspruchung </t>
  </si>
  <si>
    <t xml:space="preserve">Coeficiente de trabajo combinación corte tracción </t>
  </si>
  <si>
    <t xml:space="preserve">Taux de travail combinaison cisaillement traction </t>
  </si>
  <si>
    <t xml:space="preserve">Taxa de trabalho combinada corte tração </t>
  </si>
  <si>
    <t>Überprüfung Verankerung Betonseite</t>
  </si>
  <si>
    <t>Comprobación anclaje lado hormigón</t>
  </si>
  <si>
    <t>Vérification ancrage côté béton</t>
  </si>
  <si>
    <t>Verificação da ancoragem do lado do betão</t>
  </si>
  <si>
    <t>Wirksame Länge</t>
  </si>
  <si>
    <t>Longitud efectiva</t>
  </si>
  <si>
    <t>Longueur effective</t>
  </si>
  <si>
    <t>Comprimento efetivo</t>
  </si>
  <si>
    <t>Min. Länge Verankerung</t>
  </si>
  <si>
    <t>Longitud mínimo anclaje</t>
  </si>
  <si>
    <t>Longueur minimum ancrage</t>
  </si>
  <si>
    <t>Comprimento mínimo de ancoragem</t>
  </si>
  <si>
    <t xml:space="preserve">Beanspruchung </t>
  </si>
  <si>
    <t xml:space="preserve">Coeficiente de trabajo </t>
  </si>
  <si>
    <t xml:space="preserve">Taux de travail </t>
  </si>
  <si>
    <t xml:space="preserve">Taxa de trabalho </t>
  </si>
  <si>
    <t>Longitud mínima solapamiento</t>
  </si>
  <si>
    <t>Longueur minimum overlap</t>
  </si>
  <si>
    <t>Comprimento mínimo de overlap</t>
  </si>
  <si>
    <t>Beanspruchung</t>
  </si>
  <si>
    <t>Coeficiente de trabajo</t>
  </si>
  <si>
    <t>Taux de travail</t>
  </si>
  <si>
    <t>Taxa de trabalho</t>
  </si>
  <si>
    <t>Steifigkeiten</t>
  </si>
  <si>
    <t>Rigideces</t>
  </si>
  <si>
    <t>Rigidités</t>
  </si>
  <si>
    <t>Rigidez</t>
  </si>
  <si>
    <t>Scherfestigkeit</t>
  </si>
  <si>
    <t>Rigidez al corte</t>
  </si>
  <si>
    <t>Rigidité au cisaillement</t>
  </si>
  <si>
    <t>Rigidez ao corte</t>
  </si>
  <si>
    <t>Axiale Steifigkeit</t>
  </si>
  <si>
    <t>Rigidez axial</t>
  </si>
  <si>
    <t>Rigidité axiale</t>
  </si>
  <si>
    <t>Drehsteifigkeit (*)</t>
  </si>
  <si>
    <t>Rigidez rotacional (*)</t>
  </si>
  <si>
    <t>Rigidité en rotation (*)</t>
  </si>
  <si>
    <t>Berechnung Nulllinie - Biegung</t>
  </si>
  <si>
    <t>Cálculo eje neutro - Flexión</t>
  </si>
  <si>
    <t>Calcul axe neutre - Flexion</t>
  </si>
  <si>
    <t>Cálculo do eixo neutro - Flexão</t>
  </si>
  <si>
    <t xml:space="preserve">Biegesteifigkeit in Bezug auf Schrauben </t>
  </si>
  <si>
    <t xml:space="preserve">Momento de flexión respecto a los tornillos </t>
  </si>
  <si>
    <t xml:space="preserve">Moment fléchissant par rapport aux vis </t>
  </si>
  <si>
    <t xml:space="preserve">Momento fletor em relação aos parafusos </t>
  </si>
  <si>
    <t xml:space="preserve">Nulllinie </t>
  </si>
  <si>
    <t xml:space="preserve">Eje neutro </t>
  </si>
  <si>
    <t xml:space="preserve">Axe neutre </t>
  </si>
  <si>
    <t xml:space="preserve">Eixo neutro </t>
  </si>
  <si>
    <t xml:space="preserve">Parte comprimida primera lámina </t>
  </si>
  <si>
    <t xml:space="preserve">Portion comprimée première lame </t>
  </si>
  <si>
    <t xml:space="preserve">Parte comprimida primeira lamela </t>
  </si>
  <si>
    <t xml:space="preserve">Parte comprimida segunda lámina </t>
  </si>
  <si>
    <t xml:space="preserve">Portion comprimée deuxième lame </t>
  </si>
  <si>
    <t xml:space="preserve">Parte comprimida segunda lamela </t>
  </si>
  <si>
    <t xml:space="preserve">Parte comprimida tercera lámina </t>
  </si>
  <si>
    <t xml:space="preserve">Portion comprimée troisième lame </t>
  </si>
  <si>
    <t xml:space="preserve">Parte comprimida terceira lamela </t>
  </si>
  <si>
    <t xml:space="preserve">Resultierende Position </t>
  </si>
  <si>
    <t xml:space="preserve">Posición resultante </t>
  </si>
  <si>
    <t xml:space="preserve">Position résultante </t>
  </si>
  <si>
    <t xml:space="preserve">Posição resultante </t>
  </si>
  <si>
    <t>Brazo de palanca</t>
  </si>
  <si>
    <t>Bras de levier</t>
  </si>
  <si>
    <t>Braço de alavanca</t>
  </si>
  <si>
    <t>Berechnung Belastungen</t>
  </si>
  <si>
    <t>Cálculo esfuerzos</t>
  </si>
  <si>
    <t>Calcul des efforts</t>
  </si>
  <si>
    <t>Cálculo dos esforços</t>
  </si>
  <si>
    <t>Acción máxima en todos los tornillos</t>
  </si>
  <si>
    <t>Action maximale sur toutes les vis</t>
  </si>
  <si>
    <t>Ação máxima em todos os parafusos</t>
  </si>
  <si>
    <t>Acción máxima en un solo tornillo (*)</t>
  </si>
  <si>
    <t>Action maximale sur chaque vis (*)</t>
  </si>
  <si>
    <t>Ação máxima num único parafuso (*)</t>
  </si>
  <si>
    <t>Acción máxima tornillos dentro del plano en un solo tornillo superior</t>
  </si>
  <si>
    <t>Action maximale des vis en plan sur chaque vis supérieure</t>
  </si>
  <si>
    <t>Ação máxima dos parafusos em plano num único parafuso superior</t>
  </si>
  <si>
    <t>Acción máxima tornillos dentro del plano en un solo tornillo inferior</t>
  </si>
  <si>
    <t>Action maximale des vis en plan sur chaque vis inférieure</t>
  </si>
  <si>
    <t>Ação máxima dos parafusos em plano num único parafuso inferior</t>
  </si>
  <si>
    <t>Acción máxima tornillos fuera del plano en un solo tornillo superior</t>
  </si>
  <si>
    <t>Action maximale des vis hors plan sur chaque vis supérieure</t>
  </si>
  <si>
    <t>Ação máxima dos parafusos fora do plano num único parafuso superior</t>
  </si>
  <si>
    <t>Acción máxima tornillos fuera del plano en un solo tornillo inferior</t>
  </si>
  <si>
    <t>Action maximale des vis hors plan sur chaque vis inférieure</t>
  </si>
  <si>
    <t>Ação máxima dos parafusos fora do plano num único parafuso inferior</t>
  </si>
  <si>
    <t>Acción combinada en un solo tornillo superior</t>
  </si>
  <si>
    <t>Action combinée sur chaque vis supérieure</t>
  </si>
  <si>
    <t>Ação combinada num único parafuso superior</t>
  </si>
  <si>
    <t>Acción combinada en un solo tornillo inferior</t>
  </si>
  <si>
    <t>Action combinée sur chaque vis inférieure</t>
  </si>
  <si>
    <t>Ação combinada num único parafuso inferior</t>
  </si>
  <si>
    <t>(*) Se considera que la tracción es absorbida únicamente por los tornillos en la línea inferior</t>
  </si>
  <si>
    <t>(*) nous considérons que la traction est uniquement absorbée par les vis sur la ligne inférieure</t>
  </si>
  <si>
    <t>(*) considera-se que a tração só é absorvida pelos parafusos da linha inferior</t>
  </si>
  <si>
    <t>Fibras superiores en tracción</t>
  </si>
  <si>
    <t>Fibres supérieures tendues</t>
  </si>
  <si>
    <t>Fibras superiores tensionadas</t>
  </si>
  <si>
    <t>Geforderte Länge Verankerung</t>
  </si>
  <si>
    <t>Longitud anclaje requerida</t>
  </si>
  <si>
    <t>Longueur ancrage requise</t>
  </si>
  <si>
    <t>Comprimento de ancoragem requerido</t>
  </si>
  <si>
    <t>Longitud mínima anclaje</t>
  </si>
  <si>
    <t>Longueur ancrage minimum</t>
  </si>
  <si>
    <t>Longitud anclaje</t>
  </si>
  <si>
    <t xml:space="preserve">Longitud solapamiento </t>
  </si>
  <si>
    <t xml:space="preserve">Longueur overlap </t>
  </si>
  <si>
    <t xml:space="preserve">Comprimento de overlap </t>
  </si>
  <si>
    <t>Scher-/Biegesteifigkeit</t>
  </si>
  <si>
    <t>Rigidez corte/flexión</t>
  </si>
  <si>
    <t>Rigidité cisaillement/flexion</t>
  </si>
  <si>
    <t>Rigidez ao corte/de flexão</t>
  </si>
  <si>
    <t>erste Schicht</t>
  </si>
  <si>
    <t>primera capa</t>
  </si>
  <si>
    <t>première couche</t>
  </si>
  <si>
    <t>primeira camada</t>
  </si>
  <si>
    <t>25 % Stärke</t>
  </si>
  <si>
    <t>25 % espesor</t>
  </si>
  <si>
    <t>25 % épaisseur</t>
  </si>
  <si>
    <t>25% espessura</t>
  </si>
  <si>
    <t>a_t(25 %)</t>
  </si>
  <si>
    <t>Cálculo longitud comprimida por rigidez</t>
  </si>
  <si>
    <t>Longueur comprimée calcul pour rigidité</t>
  </si>
  <si>
    <t>Comprimento comprimido cálculo para rigidez</t>
  </si>
  <si>
    <t>Bezugsmoment</t>
  </si>
  <si>
    <t>Momento de referencia</t>
  </si>
  <si>
    <t>Moment de référence</t>
  </si>
  <si>
    <t>Momento de referência</t>
  </si>
  <si>
    <t>Kraft auf Bezugsschrauben</t>
  </si>
  <si>
    <t>Fuerza en los tornillos de referencia</t>
  </si>
  <si>
    <t>Force sur vis de référence</t>
  </si>
  <si>
    <t>Força nos parafusos de referência</t>
  </si>
  <si>
    <t>Bezugsbreite</t>
  </si>
  <si>
    <t>Anchura de referencia</t>
  </si>
  <si>
    <t>Largeur de référence</t>
  </si>
  <si>
    <t>Largura de referência</t>
  </si>
  <si>
    <t xml:space="preserve">Druckfestigkeit </t>
  </si>
  <si>
    <t xml:space="preserve">Rigidez a compresión </t>
  </si>
  <si>
    <t xml:space="preserve">Rigidité à la compression </t>
  </si>
  <si>
    <t xml:space="preserve">Rigidez à compressão </t>
  </si>
  <si>
    <t>Tornillos en zona de tensión</t>
  </si>
  <si>
    <t>Vis en zone tendue</t>
  </si>
  <si>
    <t>Parafusos na zona tensionada</t>
  </si>
  <si>
    <t>Deformación de la zona comprimida</t>
  </si>
  <si>
    <t>Déformation de la zone comprimée</t>
  </si>
  <si>
    <t>Deformação da zona comprimida</t>
  </si>
  <si>
    <t>Verformung Befestigungen</t>
  </si>
  <si>
    <t>Deformación de las fijaciones</t>
  </si>
  <si>
    <t>Déformation des fixations</t>
  </si>
  <si>
    <t>Deformação das fixações</t>
  </si>
  <si>
    <t>Einzelner Drehwinkel</t>
  </si>
  <si>
    <t>Ángulo de rotación unitario</t>
  </si>
  <si>
    <t>Angle de rotation unitaire</t>
  </si>
  <si>
    <t>Ângulo de rotação unitário</t>
  </si>
  <si>
    <t>bearbeitbare Zellen</t>
  </si>
  <si>
    <t>celdas editables</t>
  </si>
  <si>
    <t>cases éditables</t>
  </si>
  <si>
    <t>células editáveis</t>
  </si>
  <si>
    <t>Distancia de la línea de tornillos bajos desde el borde CLT</t>
  </si>
  <si>
    <t>Distance de la ligne de vis basses depuis le bord CLT</t>
  </si>
  <si>
    <t>Distância da linha de parafusos baixos do bordo CLT</t>
  </si>
  <si>
    <t>Tabla</t>
  </si>
  <si>
    <t>Lame</t>
  </si>
  <si>
    <t>Soalho</t>
  </si>
  <si>
    <t>Position Längseisen</t>
  </si>
  <si>
    <t>Posición barra longitudinal</t>
  </si>
  <si>
    <t>Position barre longitudinale</t>
  </si>
  <si>
    <t>Posição da armadura longitudinal</t>
  </si>
  <si>
    <t>Längseisen (1/2 Durchm.)</t>
  </si>
  <si>
    <t>Barra longitudinal (1/2 diám.)</t>
  </si>
  <si>
    <t>Barre longitudinale (1/2 dia.)</t>
  </si>
  <si>
    <t>Armadura longitudinal (1/2 dia.)</t>
  </si>
  <si>
    <t>Toleranz bei Biegung der Bügel</t>
  </si>
  <si>
    <t>Tolerancia en curvatura estribos</t>
  </si>
  <si>
    <t>Tolérance sur courbure des étriers</t>
  </si>
  <si>
    <t>Tolerância em curvatura dos estribos</t>
  </si>
  <si>
    <t>Schrauben (1/2 Durchm.)</t>
  </si>
  <si>
    <t>Tornillo (1/2 diám.)</t>
  </si>
  <si>
    <t>Vis (1/2 dia.)</t>
  </si>
  <si>
    <t>Parafuso (1/2 dia.)</t>
  </si>
  <si>
    <t>Min. geforderte Betondeckung [mm]</t>
  </si>
  <si>
    <t>Recubrimiento mínimo requerido [mm]</t>
  </si>
  <si>
    <t>Enrobage minimum requis [mm]</t>
  </si>
  <si>
    <t>Cobirmento mínimo requerido [mm]</t>
  </si>
  <si>
    <t>Konstruktionsklasse</t>
  </si>
  <si>
    <t>Clase estructural</t>
  </si>
  <si>
    <t>Classe structurelle</t>
  </si>
  <si>
    <t>Classe estrutural</t>
  </si>
  <si>
    <t>Min. Betondeckung für die Bügel</t>
  </si>
  <si>
    <t>Recubrimiento mínimo para estribos</t>
  </si>
  <si>
    <t>Enrobage minimum pour les étriers</t>
  </si>
  <si>
    <t>Min. Betondeckung für die Längsstangen</t>
  </si>
  <si>
    <t>Recubrimiento mínimo para barras longitudinales</t>
  </si>
  <si>
    <t>Enrobage minimum pour les barres longitudinales</t>
  </si>
  <si>
    <t>Abstand von Achse der Längsstangen</t>
  </si>
  <si>
    <t>Distancia desde el eje de las barras longitudinales</t>
  </si>
  <si>
    <t>Distance par rapport à l’axe des barres longitudinales</t>
  </si>
  <si>
    <t>Distância do eixo das barras longitudinais</t>
  </si>
  <si>
    <t>Platten</t>
  </si>
  <si>
    <t>Paneles</t>
  </si>
  <si>
    <t>Panneaux</t>
  </si>
  <si>
    <t>Painéis</t>
  </si>
  <si>
    <t>Beiw. Verbindung Holz</t>
  </si>
  <si>
    <t>coef. conexión madera</t>
  </si>
  <si>
    <t>coeff. connexion bois</t>
  </si>
  <si>
    <t>coef. ligação da madeira</t>
  </si>
  <si>
    <t>Beiw. Material Stahl</t>
  </si>
  <si>
    <t>coef. material acero</t>
  </si>
  <si>
    <t>coeff. matériau acier</t>
  </si>
  <si>
    <t>coef. material de aço</t>
  </si>
  <si>
    <t>Beiw. Material Beton</t>
  </si>
  <si>
    <t>coef. material hormigón</t>
  </si>
  <si>
    <t>coeff. matériau béton</t>
  </si>
  <si>
    <t>coef. material de betão</t>
  </si>
  <si>
    <t>Axiale Festigkeit - Beton</t>
  </si>
  <si>
    <t>Resistencia axial - Hormigón</t>
  </si>
  <si>
    <t>Résistance axiale - Béton</t>
  </si>
  <si>
    <t>Resistência axial - Betão</t>
  </si>
  <si>
    <t>Axiale Festigkeit - Holz</t>
  </si>
  <si>
    <t>Resistencia axial - Madera</t>
  </si>
  <si>
    <t>Résistance axiale - Bois</t>
  </si>
  <si>
    <t>Resistência axial - Madeira</t>
  </si>
  <si>
    <t>Scherfestigkeit - Holz</t>
  </si>
  <si>
    <t>Resistencia al corte - Madera</t>
  </si>
  <si>
    <t>Résistance au cisaillement - Bois</t>
  </si>
  <si>
    <t>Resistência ao corte - Madeira</t>
  </si>
  <si>
    <t>Scherfestigkeit - Stahl</t>
  </si>
  <si>
    <t>Resistencia al corte - Acero</t>
  </si>
  <si>
    <t>Résistance au cisaillement - Acier</t>
  </si>
  <si>
    <t>Resistência ao corte - Aço</t>
  </si>
  <si>
    <t>Seitensteifigkeit für Einzelschraube</t>
  </si>
  <si>
    <t>Rigidez lateral para un solo tornillo</t>
  </si>
  <si>
    <t>Rigidité latérale pour chaque vis</t>
  </si>
  <si>
    <t>Rigidez lateral para parafuso único</t>
  </si>
  <si>
    <t>ANMERKUNGEN</t>
  </si>
  <si>
    <t>NOTAS</t>
  </si>
  <si>
    <t>Vor dem Bau müssen alle Berechnungen vom verantwortlichen Planer geprüft und freigegeben werden.</t>
  </si>
  <si>
    <t>Antes de la construcción, todos los cálculos deben ser comprobados y aprobados por el proyectista responsable.</t>
  </si>
  <si>
    <t>Avant la construction, tous les calculs doivent être vérifiés et approuvés par le concepteur responsable.</t>
  </si>
  <si>
    <t>Antes da construção, todos os cálculos devem ser verificados e aprovados pelo projetista responsável.</t>
  </si>
  <si>
    <t>Die Werte der mechanischen Festigkeit und Geometrie beziehen sich auf die Produktzertifizierung.</t>
  </si>
  <si>
    <t>Los valores de resistencia mecánica y la geometría se refieren a la certificación del producto.</t>
  </si>
  <si>
    <t>Les valeurs de résistance mécanique et la géométrie se réfèrent à la certification du produit.</t>
  </si>
  <si>
    <t>Os valores de resistência mecânica e a geometria referem-se à certificação do produto.</t>
  </si>
  <si>
    <t>Die Überprüfung der Festigkeit des Systems auf der Seite der Verankerung am Beton muss separat gemäß den Angaben in ETA-22/0806 - Anhang E1 durchgeführt werden.</t>
  </si>
  <si>
    <t>La comprobación de la resistencia del sistema lado anclaje al hormigón deberá realizarse por separado siguiendo las indicaciones de ETA-22/0806 - Annex E1.</t>
  </si>
  <si>
    <t>La vérification de la résistance du système côté ancrage au béton doit être effectuée séparément conformément à l’ETA-22/0806 - Annexe E1.</t>
  </si>
  <si>
    <t>A verificação da resistência do sistema do lado de ancoragem ao betão deve ser efetuada separadamente, de acordo com a ETA-22/0806 - Anexo E1.</t>
  </si>
  <si>
    <t>Alle Berechnungen müssen vor der Ausführung vom verantwortlichen Planer geprüft und freigegeben werden. Der Planer ist verpflichtet, bei jeder Nutzung die Übereinstimmung der Daten mit den geltenden Vorschriften und dem Projekt zu überprüfen. Die letztendliche Verantwortung für die Auswahl des geeigneten Produkts für eine bestimmte Anwendung liegt beim Planer.</t>
  </si>
  <si>
    <t>Todos los cálculos deben ser comprobados y aprobados por el proyectista responsable antes de su ejecución. El proyectista tiene la obligación de comprobar en cada uso que los datos sean conformes con las normativas vigentes y con el proyecto. La responsabilidad final de elegir el producto apropiado para una aplicación específica recae en el proyectista.</t>
  </si>
  <si>
    <t>Tous les calculs doivent être vérifiés et approuvés par le concepteur responsable avant l'exécution. Le concepteur est tenu de vérifier, à chaque utilisation, la conformité des données aux règlementations en vigueur et au projet. La responsabilité ultime du choix du produit approprié pour une application spécifique incombe au concepteur.</t>
  </si>
  <si>
    <t>Todos os cálculos devem ser verificados e aprovados pelo projetista responsável antes da execução. É dever do projetista verificar em cada utilização a conformidade dos dados com as normas em vigor e com o projeto. A responsabilidade final pela escolha do produto apropriado para uma aplicação específica cabe ao projetista.</t>
  </si>
  <si>
    <t>Die in diesem Datenblatt erzielten Ergebnisse sind Richtwerte und sollten als technisch-kommerzielle Dienstleistung im Rahmen der Verkaufstätigkeit von Rotho Blaas srl. betrachtet werden. Die Anzahl und Stärke der Einsätze muss vom verantwortlichen Planer bestimmt werden, der verpflichtet ist, die Richtigkeit der Ergebnisse zu überprüfen, die sich aus der Verarbeitung der eingegebenen Daten ergeben. Rotho Blaas srl übernimmt keine Garantie für die Übereinstimmung mit den geltenden Vorschriften und die Planung der Berechnungen, die mit dieser Tabellenkalkulation durchgeführt wurden. Insbesondere könnte das Programm infolge einer Änderung der relevanten Bestimmungen, wie z. B. Normen, Zulassungen usw., seine Gültigkeit teilweise oder vollständig verlieren. Rotho Blaas srl garantiert nicht bzw. haftet in keiner Weise für direkte oder indirekte Schäden oder Folgen oder sonstige Auswirkungen (Gewährleistung bei Mängeln, Gewährleistung bei Fehlfunktionen, gesetzliche oder Produkthaftung usw.). Der Benutzer erklärt, das Tabellenkalkulationsprogramm in seiner Eigenschaft als Fachkraft zu verwenden, einschließlich der Verpflichtung und Verantwortung, sicherzustellen, dass die Tabellenkalkulation seinen spezifischen Anforderungen entspricht.</t>
  </si>
  <si>
    <t>Los resultados obtenidos en esta ficha son de carácter indicativo y deben considerarse como un servicio técnico-comercial en el ámbito de la actividad de ventas de Rotho Blaas srl. El número y el espesor de las puntas deben ser determinados por el proyectista responsable, que tiene la obligación de comprobar la exactitud de los resultados obtenidos mediante el procesamiento de los datos introducidos. Rotho Blaas srl no garantiza la conformidad con la normativa vigente ni la proyección de los cálculos realizados mediante esta hoja de cálculo. En concreto, tras modificar las disposiciones pertinentes, como, por ejemplo, normas, aprobaciones, etc., el programa puede dejar de ser válido, parcial o completamente. Rotho Blaas srl no ofrece ninguna garantía y en ningún caso podrá ser considerado responsable por daños o consecuencias, directas o indirectas (garantía por defectos, garantía por mal funcionamiento, responsabilidad del producto o legal, etc.). El Usuario declara que utilizará la hoja de cálculo como profesional con la obligación y la responsabilidad de comprobar que la hoja de cálculo responda a sus necesidades específicas.</t>
  </si>
  <si>
    <t>Les résultats obtenus dans cette fiche sont à titre indicatif et doivent être considérés comme un service technico-commercial dans le cadre de l'activité de vente de Rotho Blaas srl. Le nombre et l'épaisseur des inserts doivent être déterminés par le concepteur responsable qui est tenu de vérifier l'exactitude des résultats découlant du traitement des données saisies. Rotho Blaas srl ne garantit pas la conformité aux normes en vigueur et la conception des calculs effectués à l'aide de cette feuille de calcul. En particulier, suite à la modification des dispositions pertinentes, comme par exemple les normes, approbations, etc. le programme pourrait devenir entièrement ou partiellement non valide. Rotho Blaas srl ne garantit pas et n'est pas responsable des dommages ou conséquences directs ou indirects, ou autre, quels qu'ils soient (garantie pour les défauts, garantie pour les dysfonctionnements, responsabilité du produit ou responsabilité juridique, etc.) L'utilisateur déclare utiliser la feuille de calcul en tant que professionnel avec l'obligation et la responsabilité de vérifier que la feuille de calcul répond à ses besoins spécifiques.</t>
  </si>
  <si>
    <t>Os resultados obtidos nesta ficha são de natureza indicativa e devem ser considerados como um serviço técnico-comercial no âmbito da atividade comercial da Rotho Blaas srl. O número e a espessura das inserções devem ser determinados pelo projetista responsável que tem o dever de verificar a exatidão dos resultados do tratamento dos dados introduzidos. A Rotho Blaas srl não garante o cumprimento da regulamentação em vigor e a conceção dos cálculos efetuados com esta folha de cálculo. Em particular, devido a alterações nas disposições aplicáveis, tais como normas, homologações, etc., o programa pode tornar-se parcial ou totalmente inválido. A Rotho Blaas srl não garante e não será responsável por quaisquer danos ou consequências, diretos ou indiretos, de qualquer forma (garantia contra defeitos, garantia em caso de mau funcionamento, responsabilidade pelo produto ou jurídica, etc.). O Utilizador declara que utiliza a folha de cálculo como profissional, com a obrigação e a responsabilidade de verificar se a folha de cálculo responde às suas necessidades específicas.</t>
  </si>
  <si>
    <t>ALLGEMEINE BEDINGUNGEN DES LIZENZVERTRAGS ZUR NUTZUNG DES TABELLENKALKULATIONSPROGRAMMS „TC_FUSION_CALCULATOR“</t>
  </si>
  <si>
    <t>CONDICIONES GENERALES DEL CONTRATO DE LICENCIA DE USO PARA LA HOJA DE CÁLCULO “TC_FUSION_CALCULATOR”</t>
  </si>
  <si>
    <t>CONDITIONS GÉNÉRALES DU CONTRAT DE LICENCE D'UTILISATION DE LA FEUILLE DE CALCUL « TC_FUSION_CALCULATOR »</t>
  </si>
  <si>
    <t>CONDIÇÕES GERAIS DO CONTRATO DE LICENÇA PARA A UTILIZAÇÃO DA FOLHA DE CÁLCULO “TC_FUSION_CALCULATOR”</t>
  </si>
  <si>
    <t>1. BETREFF</t>
  </si>
  <si>
    <t>1. OBJETO</t>
  </si>
  <si>
    <t>1. OBJET</t>
  </si>
  <si>
    <t>Mit diesen Allgemeinen Bedingungen (oder „Vertrag“) gewährt ROTHO BLAAS GmbH mit Sitz in I-39040 Kurtatsch (BZ), Etschweg 2/1 (nachfolgend „RB“) dem Benutzer das nicht exklusive und widerrufliche Recht, das Tabellenkalkulationsprogramm „CALC“ (nachfolgend „XLS“) zu den im Folgenden angegebenen Bedingungen und für die Laufzeit dieses Vertrags unentgeltlich zu verwenden.
Dieser Vertrag regelt somit das Verhältnis zwischen dem Benutzer und RB in Bezug auf die Verwendung des besagten Tabellenkalkulationsprogramms. Wenn der Benutzer CALC herunterlädt und verwendet, akzeptiert er diesen Vertrag und die dort aufgeführten Bedingungen.
CALC ermöglicht dem Benutzer, statische Berechnungen ausschließlich für jene Produkte und Materialien vorzunehmen, die in jeder seiner Sektionen angegeben sind. Durch diesen Vertrag ist die Verwendung von CALC für die Fertigung nicht angegebener Produkte ausdrücklich untersagt.
RB bietet keine Garantie für die rechtliche Konformität und die Konformität mit dem Berechnungsprojekt und bezweckt, ausschließlich ein indikatives Berechnungstool bereitzustellen, bei dem es sich um eine technisch-kommerzielle Leistung im Rahmen der Vertriebstätigkeit handelt.</t>
  </si>
  <si>
    <t>Con estas Condiciones Generales (o “Contrato”), ROTHO BLAAS SRL, con domicilio en I-39040 Cortaccia (BZ), Via dell'Adige 2/1 (en lo sucesivo, “RB”), otorga al usuario el derecho no exclusivo y revocable para usar, a título gratuito, la hoja de cálculo “--” (en lo sucesivo, “CALC”) en las condiciones indicadas a continuación y mientras esté vigente el Contrato.
Por lo tanto, este contrato tiene por objeto regular la relación entre el usuario y RB con respecto al uso de dicha hoja de cálculo. En el momento en que el usuario descarga y usa CALC, acepta este Contrato y las condiciones indicadas.
CALC permite al usuario realizar cálculos estáticos exclusivamente para los productos y los materiales indicados en cada una de sus secciones. Este Contrato prohíbe expresamente el uso de CALC para realizar cálculos para productos que no estén indicados.
En cualquier caso, RB no proporciona ninguna garantía sobre la conformidad legal ni con el proyecto de cálculos y solo pretende proporcionar una herramienta de cálculo indicativo, como servicio técnico-comercial en el ámbito de la actividad de ventas.</t>
  </si>
  <si>
    <t>Avec les présentes Conditions Générales (ou « Contrat »), ROTHO BLAAS SRL, dont le siège se situe I-39040 Cortaccia (BZ), Via dell'Adige 2/1 (ci-après « RB »), donne à l'utilisateur le droit non exclusif et révocable d'utiliser à titre gratuit la feuille de calcul « -- » (ci-après « CALC »), aux conditions indiquées ci-après et pour la durée du présent Contrat.
Le présent contrat régit ainsi le rapport entre l'utilisateur et RB concernant l'utilisation de la feuille de calcul mentionnée. Lorsque l'utilisateur télécharge et utilise CALC, il accepte le présent Contrat et les conditions indiquées.
CALC permet à l'utilisateur d'effectuer des calculs statiques, exclusivement pour les produits et les matériaux indiqués dans chacune des sections. Le présent Contrat interdit expressément d'utiliser CALC pour réaliser des produits non indiqués.
RB ne donne aucune garantie sur la conformité des calculs à la réglementation et au projet et fournit exclusivement un outil de calcul indicatif en tant que service technico-commercial dans le cadre de l'activité de vente.</t>
  </si>
  <si>
    <t>Com as presentes Condições Gerais (ou “Contrato”), a ROTHO BLAAS SRL, com sede em I-39040 Cortaccia (BZ), Via dell’Adige 2/1 (a seguir designada “RB”) concede ao Utilizador o direito não exclusivo e revogável de utilizar gratuitamente a folha de cálculo “--” (a seguir designada “CALC”) nas condições a seguir indicadas e durante o período de vigência do presente Contrato.
Este acordo rege, portanto, a relação entre o Utilizador e a RB no que diz respeito à utilização da referida folha de cálculo. Ao transferir e utilizar o CALC, o Utilizador aceita o presente Contrato e as Condições aqui estabelecidas.
O CALC permite ao Utilizador efetuar cálculos estáticos apenas para os produtos e materiais indicados em cada secção do mesmo. O presente Contrato proíbe expressamente a utilização de CALC para o fabrico de produtos não indicados.
A RB não garante, em caso algum, a conformidade legal e com a conceção dos cálculos, pretendendo fornecer apenas um instrumento de cálculo indicativo enquanto serviço técnico-comercial no âmbito das suas atividades de venda.</t>
  </si>
  <si>
    <t>2. TECHNISCHE VERWEISE</t>
  </si>
  <si>
    <t>2. REFERENCIAS TÉCNICAS</t>
  </si>
  <si>
    <t>2. RÉFÉRENCES TECHNIQUES</t>
  </si>
  <si>
    <t>2. REFERÊNCIAS TÉCNICAS</t>
  </si>
  <si>
    <t>RB hat die Prüfungen gemäß Grenzzustandsmethode laut DIN EN 1995-1-1 Eurocode 5 - Bemessung und Konstruktion von Holzbauten sowie DIN EN 1992-1-1 Eurocode 2 - Bemessung und Konstruktion von Stahlbeton- und Spannbetontragwerken vorgenommen. Bei den Werten für die mechanische Festigkeit und die Geometrie des Systems wurde auf die Angaben in der ETA-22/0806 Bezug genommen.</t>
  </si>
  <si>
    <t>RB ha efectuado las comprobaciones según el método de los estados límite de acuerdo con la norma EN 1995-1-1 Eurocódigo 5 - Proyecto de estructuras de madera y con la norma EN 1992-1-1 Eurocódigo 2 - Proyecto de estructuras de hormigón. Para los valores de resistencia mecánica y para la geometría de los clavos se han tomado como referencia las indicaciones de ETA-22/0806.</t>
  </si>
  <si>
    <t>RB a effectué les vérifications selon la méthode des états-limites conformément à l'Eurocode 5 EN 1995-1-1 Conception et calcul des structures en bois et l'Eurocode 2 EN 1992-1-1 Conception et calcul des structures en béton. Pour les valeurs de résistance mécanique et pour la géométrie du système, il a été fait référence à l’ETA-22/0806.</t>
  </si>
  <si>
    <t>A RB efetuou as verificações segundo o método dos Estados-Limite em conformidade com a EN 1995-1-1 Eurocódigo 5 - Conceção de estruturas de madeira e a EN 1992-1-1 Eurocódigo 2 - Conceção de estruturas de betão. Para os valores de resistência mecânica e para a geometria do sistema, fez-se referência ao que consta da ETA-22/0806.</t>
  </si>
  <si>
    <t>3. RECHTE UND PFLICHTEN VON RB</t>
  </si>
  <si>
    <t>3. DERECHOS Y OBLIGACIONES DE RB</t>
  </si>
  <si>
    <t>3. DROITS ET OBLIGATIONS DE RB</t>
  </si>
  <si>
    <t>3. DIREITOS E OBRIGAÇÕES DA RB</t>
  </si>
  <si>
    <t>RB:
a) stellt dem Benutzer CALC kostenlos zur Verfügung, wie es ist;
b) bietet dem Benutzer keine technische Unterstützung für die Verwendung von CALC;
c) garantiert weder die Übereinstimmung der mit CALC durchgeführten Berechnungen mit den geltenden Vorschriften noch mit dem Projekt. Insbesondere könnte das Tabellenkalkulationsprogramm infolge einer Änderung der relevanten Bestimmungen, wie z. B. Normen, Zulassungen usw., seine Gültigkeit teilweise oder vollständig verlieren.
d) übernimmt, auch wenn das Unternehmen sich das Recht auf Aktualisierung, Korrektur und Entwicklung von CALC vorbehält, keinerlei Verpflichtung gegenüber dem Benutzer, das Tabellenkalkulationsprogramm zu prüfen, zu korrigieren, zu vervollständigen oder zu aktualisieren und/oder dieses mit den vorgenommenen Aktualisierungen auszustatten.</t>
  </si>
  <si>
    <t>RB:
a) pone el CALC a disposición del usuario gratuitamente, tal como está;
b) no proporciona al usuario asistencia técnica de ningún tipo para el uso de CALC;
c) no garantiza la conformidad de CALC con la normativa vigente ni con el proyecto de cálculos realizados con este. En concreto, tras modificar las disposiciones pertinentes, como, por ejemplo, normas, homologaciones, etc., la hoja de cálculo puede dejar de ser válida, parcial o completamente.
d) aunque se reserva el derecho de actualizar, revisar y desarrollar CALC, no asume ninguna obligación, ante el usuario, de comprobar, corregir, completar o actualizar la hoja de cálculo ni de poner a su disposición las actualizaciones realizadas.</t>
  </si>
  <si>
    <t>RB :
a) met gratuitement CALC à la disposition de l’Utilisateur, telle quelle est ;
b) ne fournit aucun support technique à l’utilisateur pour l’utilisation de CALC ;
c) ne garantit pas la conformité de CALC à la règlementation en vigueur ni à la conception des calculs effectués à travers celui-ci. En particulier, suite à la modification des dispositions relatives, comme les normes, homologations, etc. la feuille de calcul pourrait devenir entièrement ou partiellement non valide ;
d) tout en se réservant le droit de mettre à jour, revoir et développer CALC, ne prend aucune obligation envers l'utilisateur concernant la vérification, la correction, le complètement ou la mise à jour de la feuille de calcul et/ou la mise à disposition des mises à jour effectuées.</t>
  </si>
  <si>
    <t>RB:
a) coloca o CALC à disposição do Utilizador gratuitamente, tal como está;
b) não fornece ao utilizador qualquer suporte técnico para a utilização do CALC;
c) não garante a conformidade do CALC com a regulamentação em vigor ou a conceção dos cálculos efetuados pelo mesmo. Em particular, na sequência de alterações nas disposições aplicáveis, tais como normas, homologações, etc., a folha de cálculo pode ficar total ou parcialmente inválida.
d) embora se reserve o direito de atualizar, rever e desenvolver o CALC, não assume qualquer obrigação perante o utilizar de verificar, corrigir, completar ou atualizar a folha de cálculo e/ou disponibilizar ao utilizar as atualizações realizadas.</t>
  </si>
  <si>
    <t>4. RECHTE UND PFLICHTEN DES BENUTZERS</t>
  </si>
  <si>
    <t>4. DERECHOS Y OBLIGACIONES DEL USUARIO</t>
  </si>
  <si>
    <t>4. DROITS ET OBLIGATIONS DE L'UTILISATEUR</t>
  </si>
  <si>
    <t>4. DIREITOS E OBRIGAÇÕES DO UTILIZADOR</t>
  </si>
  <si>
    <t xml:space="preserve">Der Benutzer erklärt, das Tabellenkalkulationsprogramm in seiner Eigenschaft als Fachkraft zu verwenden und in keiner Weise als Verbraucher davon Gebrauch zu machen sowie stets die folgenden Pflichten und Verbote zu respektieren:
a) die Verpflichtung und Verantwortung zu überprüfen, dass CALC seinen spezifischen Bedürfnissen entspricht und mit seinen Hard- und Software-Systemen kompatibel ist;
b) die Verpflichtung, bei jeder Verwendung die Übereinstimmung der mit CALC durchgeführten Berechnungen mit den geltenden Vorschriften und dem Projekt zu überprüfen;
c) die Verpflichtung, die rechtliche Übereinstimmung der über die Software vorgenommenen Berechnungen zu überprüfen;
d) die Verpflichtung, die neueste Version von CALC zu verwenden, die vom Ansprechpartner RB zur Verfügung gestellt wurde, und bei jeder Verwendung auf etwaige Aktualisierungen zu kontrollieren;
e) das Verbot, CALC für Produkte zu verwenden, die nicht in jeder der Berechnungssektionen angegeben sind;
f) die Verpflichtung, aktualisierte Antivirensoftware zu verwenden, die den geltenden Industriestandards entspricht;
g) die Verpflichtung, die Nutzungslizenz von CALC nicht an Dritte zu übertragen und/oder auf andere Weise die Nutzungsrechte am Tabellenkalkulationsprogramm zu übertragen, zu verpfänden oder zu vermieten;
h) das Verbot, CALC in irgendeiner Weise zu verändern oder abzuwandeln.
Der Benutzer verpflichtet sich, den Ansprechpartner von RB um die neueste Version von CALC zu bitten. </t>
  </si>
  <si>
    <t xml:space="preserve">El Usuario declara que utilizará la hoja de cálculo como profesional, quedando excluido cualquier uso como consumidor, y que respetará siempre las siguientes obligaciones y prohibiciones:
a) la obligación y la responsabilidad de comprobar que CALC satisfaga sus necesidades específicas y sea compatible con su hardware, software y sistemas;
b) la obligación de comprobar, cada vez que lo use, la conformidad de los cálculos realizados mediante CALC con la normativa vigente y con el proyecto;
c) la obligación de comprobar la conformidad legal de los cálculos realizados mediante el software;
d) la obligación de usar la versión más actualizada de CALC puesta a disposición por la persona de contacto RB y de comprobar, cada vez que lo use, si hay actualizaciones;
e) la prohibición de usar XLS para productos no indicados en cada sección de cálculo;
f) la obligación de utilizar un software antivirus actualizado y que sea conforme con el estándar industrial actual;
g) la obligación de no ceder la licencia de uso de CALC a terceros ni, por otros medios, transferir, dar en garantía o arrendamiento, alquilar o compartir con otros o conceder en sublicencia los derechos de uso de la hoja de cálculo;
h) la prohibición de hacer copias de XLS o hacer que terceros lo hagan por él.
El usuario se compromete a solicitar a la persona de contacto de RB la última versión de CALC. </t>
  </si>
  <si>
    <t xml:space="preserve">L'utilisateur déclare utiliser la feuille de calcul en tant que professionnel et en excluant toute utilisation en tant que consommateur, et respecter systématiquement les obligations et interdictions suivantes :
a) l'obligation et la responsabilité de vérifier que CALC répond à ses besoins spécifiques et est compatible avec ses systèmes hardware et logiciels ; 
b) l'obligation de vérifier, à chaque utilisation, la conformité des calculs effectués à travers CALC à la réglementation en vigueur et à la conception ;
c) l'obligation de vérifier la conformité légale des calculs effectués au moyen du logiciel ;
d) l'obligation d'utiliser la dernière version de CALC mise à disposition par le contact de référence RB, en vérifiant les éventuelles mises à jour à chaque utilisation ;
e) l'interdiction d'utiliser CALC pour des produits non indiqués dans chaque section de calcul ;
f) l'obligation d'utiliser des logiciels antivirus mis à jour et conformes à la norme industrielle en vigueur ;
g) l'obligation de ne pas céder la licence d'utilisation de CALC à des tiers et/ou de transférer, mettre en gage ou en location, louer ou partager avec d'autres ou sous-licencier les droits d'utilisation de la feuille de calcul ;
h) l'interdiction de modifier ou de varier CALC de quelque manière que ce soit, même par l'intermédiaire de tiers.
L’utilisateur s’engage à demander au conseiller RB la dernière version de CALC. </t>
  </si>
  <si>
    <t xml:space="preserve">O Utilizador declara que utiliza a folha de cálculo como profissional, excluindo qualquer utilização como consumidor, e que respeita sempre as seguintes obrigações e proibições:
a) a obrigação e a responsabilidade de verificar se o CALC satisfaz as suas necessidades específicas e é compatível com os seus sistemas de hardware-software;
b) a obrigação de verificar, em cada utilização, a conformidade dos cálculos efetuados com o CALC com a regulamentação em vigor e o projeto;
c) a obrigação de verificar a conformidade legal dos cálculos efetuados através do Software;
d) A obrigação de utilizar a última versão do CALC disponibilizada pelo contacto de referência da RB, verificando as atualizações de cada vez que é utilizado;
e) a proibição de utilizar o CALC para produtos não indicados em cada secção de cálculo;
f) a obrigação de utilizar software antivírus atualizado que esteja em conformidade com as normas em vigor no setor;
g) a obrigação de não ceder a terceiros a licença de utilização do CALC e/ou de transferir, penhorar ou arrendar, alugar ou partilhar com outros ou sublicenciar os direitos de utilização da folha de cálculo;
h) a proibição de modificar ou alterar o CALC de qualquer forma, mesmo através de terceiros.
O utilizador compromete-se a solicitar à pessoa de contacto da RB a última versão do CALC. </t>
  </si>
  <si>
    <t>5. URHEBERRECHTE</t>
  </si>
  <si>
    <t>5. DERECHOS DE AUTOR</t>
  </si>
  <si>
    <t>5. DROITS D'AUTEUR</t>
  </si>
  <si>
    <t>5. DIREITOS DE AUTOR</t>
  </si>
  <si>
    <t>Die Urheberrechte auf die im Tabellenkalkulationsprogramm aufgeführten Formeln und alle ihnen zugrunde liegenden geistigen und gewerblichen Eigentumsrechte (beispielsweise und ohne Anspruch auf Vollständigkeit: Marken, Patente, Geschäftsgeheimnisse, Know-how, vertrauliche Informationen) sind und bleiben ausschließlicher Besitz von RB.
Dieser Vertrag erteilt dem Benutzer keines der hier o. g. Rechte.</t>
  </si>
  <si>
    <t>Los derechos de autor sobre las fórmulas de la hoja de cálculo y todos los derechos de propiedad intelectual e industrial que se aplican a aquellas (a título meramente de ejemplo y no exhaustivo: marcas, patentes, secretos comerciales, saber hacer, información confidencial) son y seguirán siendo propiedad exclusiva de RB.
Este acuerdo no otorga al usuario ninguno de los derechos indicados anteriormente.</t>
  </si>
  <si>
    <t>Les droits d'auteur sur les formules de la feuille de calcul et tous les droits de propriété intellectuelle et industrielle sous-jacents (par exemple, sans s'y limiter : marques, brevets, secrets industriels, savoir-faire, informations confidentielles) sont et restent la propriété exclusive de RB.
Le présent accord ne donne à l'utilisateur aucun des droits susmentionnés.</t>
  </si>
  <si>
    <t>Os direitos de autor sobre as formulações referidas na folha de cálculo e todos os direitos de propriedade intelectual e industrial que lhes estão subjacentes (tais como, a título de exemplo e não exaustivo: marcas, patentes, segredos comerciais, saber-fazer, informações confidenciais) são e continuam a ser propriedade exclusiva da RB.
O presente acordo não concede ao Utilizador nenhum dos direitos acima estabelecidos.</t>
  </si>
  <si>
    <t xml:space="preserve">6. LAUFZEIT, RÜCKTRITT UND AUFLÖSUNG </t>
  </si>
  <si>
    <t xml:space="preserve">6. DURACIÓN, RESCISIÓN Y TERMINACIÓN </t>
  </si>
  <si>
    <t xml:space="preserve">6. DURÉE, RETRAIT ET RÉSILIATION </t>
  </si>
  <si>
    <t xml:space="preserve">6. DURAÇÃO, DENÚNCIA E CESSAÇÃO </t>
  </si>
  <si>
    <t>Diese Allgemeinen Bedingungen und demzufolge die Nutzungslizenz des Tabellenkalkulationsprogramms gelten ab dem Zeitpunkt ihres Downloads bis zur Beendigung seiner Nutzung.
Der Benutzer kann zu jeder Zeit vom Vertrag zurücktreten, indem er CALC und alle etwaigen Kopien von seinen Systemen löscht.
RB kann im Falle eines Verstoßes gegen eine der die Nutzungslizenz regelnden Bestimmungen von diesem Vertrag zurücktreten und die Leistung deaktivieren. Für den Fall, dass RB den Rücktritt mitteilt, muss der Benutzer dafür sorgen, dass das Tabellenkalkulationsprogramm und etwaige Kopien von seinen Systemen gelöscht werden.</t>
  </si>
  <si>
    <t>Las presentes condiciones generales y, en consecuencia, la licencia de uso de la hoja de cálculo, son válidas desde el momento de su descarga hasta que termine su uso.
El usuario puede rescindir en cualquier momento este contrato eliminando CALC y cualquier copia de sus sistemas.
RB puede rescindir este Contrato y desactivar el servicio en caso de infracción de una cualquiera de las disposiciones que regulan la licencia de uso. En caso de que RB comunique la terminación, el usuario deberá eliminar la hoja de cálculo y cualquier copia de sus sistemas.</t>
  </si>
  <si>
    <t>Les présentes conditions générales et, par conséquent, la licence d'utilisation de la feuille de calcul, sont valables à partir du moment du téléchargement de celle-ci jusqu'à la fin de son utilisation.
L'utilisateur peut résilier à tout moment le présent Contrat en supprimant CALC et toutes les copies éventuelles de ses systèmes.
RB peut résilier à tout moment le présent Contrat et désactiver le service en cas d'infraction d'une des dispositions qui régissent la licence d'utilisation. En cas de communication de résiliation par RB, l'utilisateur devra supprimer la feuille de calcul et ses copies éventuelles de ses systèmes.</t>
  </si>
  <si>
    <t>As presentes Condições Gerais e, consequentemente, a licença de utilização da folha de cálculo, são válidas desde o momento de download do mesmo até à cessação da sua utilização.
O Utilizador pode rescindir o presente Contrato a qualquer momento, eliminando o CALC e todas as cópias dos seus sistemas.
A RB pode rescindir o presente Contrato e desativar o serviço em caso de violação de qualquer uma das disposições que regem a licença de utilização. Caso a RB comunique a cessação, o Utilizador deve eliminar a folha de cálculo e eventuais cópias da mesma dos seus sistemas.</t>
  </si>
  <si>
    <t>7. VERANTWORTUNG</t>
  </si>
  <si>
    <t>7. RESPONSABILIDAD</t>
  </si>
  <si>
    <t>7. RESPONSABILITÉ</t>
  </si>
  <si>
    <t>7. RESPONSABILIDADE</t>
  </si>
  <si>
    <t>Der Benutzer ist der alleinige Verantwortliche für die Verwendung von CALC, einschließlich, aber nicht beschränkt auf alle Berechnungen, die Tabellen, die Daten aus Exporten, die hiermit vorgenommen wurden und/oder für die Fehler bei der Eingabe, für den Schutz der Datendateien sowie für die Instandhaltung und im Allgemeinen für jede erfolgte Verwendung des Tabellenkalkulationsprogramms.
RB garantiert nicht für bzw. kann in keinem Fall haftbar gemacht werden für Schäden, Verluste und Kosten oder sonstige Auswirkungen aus einem beliebigen Grund (Gewährleistung bei Mängeln, Gewährleistung bei Fehlfunktionen, gesetzliche oder Produkthaftung usw.), die sich ergeben aus:
•   der Verwendung von CALC, den durchgeführten Berechnungen, der Übereinstimmung mit geltenden Vorschriften, dem Projekt oder anderen Anforderungen des Benutzers;
•   der Hardware- und Softwarekompatibilität, Viren, Fehlfunktionen, Mängeln, Fehlern oder Lücken;
•   der nicht erfolgten Aktualisierung des Tabellenkalkulationsprogramms und/oder der Unterbrechung der Bereitstellung des Tabellenkalkulationsprogramms und/oder Beendigung des Vertrags aus einem beliebigen Grund;
•   der Verletzung von Rechten an geistigem Eigentum Dritter.
Der Benutzer bestätigt, die Haftungsausschlüsse sowie die Haftungs- und Beschwerdebeschränkungen verstanden und akzeptiert zu haben. 
Der Benutzer bestätigt weiterhin, dass das Tabellenkalkulationsprogramm kostenlos verfügbar ist, dass die Ausschlüsse und Beschränkungen grundlegende Elemente dieses Vertrags sind und dass RB sein Tabellenkalkulationsprogramm dem Benutzer nicht zur Verfügung stellt, sollten die Ausschlüsse oder Beschränkungen zugunsten des Benutzers beseitigt oder geändert werden.</t>
  </si>
  <si>
    <t>El usuario es el único responsable del uso de CALC, incluidos, entre otros, todos los cálculos, los listados y los datos exportados realizados con él; también es el único responsable de los errores de introducción, de la protección de los archivos de datos y del mantenimiento y, en general, de cualquier uso que haga de la hoja de cálculo.
RB no ofrece ninguna garantía y en ningún caso podrá ser considerada responsable por daños, pérdidas y costes u otras consecuencias, bajo ningún concepto (garantía por vicios, garantía por mal funcionamiento, responsabilidad del producto o legal, etc.), ocasionados por:
•   uso de CALC, cálculos realizados, conformidad con la normativa vigente, con el proyecto u otras exigencias del Usuario;
•   compatibilidad del hardware y software, virus, mal funcionamiento, defectos, errores o lagunas;
•   falta de actualización de la hoja de cálculo o interrupción de la disponibilidad de la hoja de cálculo o terminación del contrato por cualquier motivo;
•   infracción de derechos de propiedad intelectual de terceros.
El usuario confirma que ha comprendido y acepta las exclusiones de responsabilidad y las limitaciones de responsabilidad y reclamación de este Contrato. 
El usuario también confirma que la hoja de cálculo está disponible gratuitamente, que las exclusiones y limitaciones son elementos fundamentales de este Contrato y que RB no pone su hoja de cálculo a disposición del usuario si las exclusiones o limitaciones se eliminan o modifican a favor del usuario en cuestión.</t>
  </si>
  <si>
    <t>L'utilisateur est le seul responsable de l'utilisation de CALC y compris, sans s'y limiter, de l'ensemble des calculs, des rapports, des données d'exportation réalisées avec celui-ci et/ou des erreurs de saisie, de la protection des fichiers de données et de la conservation et en général de toute utilisation de la feuille de calcul.
RB ne garantit pas et ne pourra en aucun cas être considéré responsable de dommages, pertes et frais ou d'autres conséquences, à quelque titre que ce soit (garantie en cas de défauts, garantie en cas de dysfonctionnement, responsabilité des produits ou responsabilité légale, etc.) dérivant de :
•   l'utilisation de CALC, des calculs effectués, de la conformité aux réglementations en vigueur, au projet ou autres exigences de l'utilisateur ;
•   la compatibilité du hardware et logiciel, virus, dysfonctionnements, défauts, erreurs ou lacunes ;
•   l'absence de mise à jour de la feuille de calcul et/ou interruption de la mise à disposition de la feuille de calcul et/ou résiliation du contrat pour quelque raison que ce soit ;
•   la violation des droits de propriété intellectuelle de tiers.
L'utilisateur confirme qu'il a compris et qu'il accepte les exclusions de responsabilité et les limitations de responsabilité et de réclamation du présent Contrat. 
L'utilisateur confirme également que la feuille de calcul est disponible gratuitement, que les exclusions et les limitations sont des éléments fondamentaux du présent Contrat et que RB ne fournit pas sa feuille de calcul à l'utilisateur si les exclusions ou les limitations sont supprimées ou modifiées en faveur de l'utilisateur.</t>
  </si>
  <si>
    <t>O Utilizador é o único responsável pela utilização do CALC, incluindo, mas não limitado a, todos os cálculos, impressões, dados de exportações realizados através do mesmo e/ou por erros de introdução, segurança de ficheiros de dados e manutenção e, em geral, por qualquer utilização da folha de cálculo.
A RB não garante e não será, em caso algum, responsável por danos, perdas e custos ou outras consequências, seja a que título for (garantia contra defeitos, garantia em caso de mau funcionamento, responsabilidade pelo produto ou responsabilidade legal, etc.), resultantes de:
•   utilização do CALC, cálculos efetuados, cumprimento da regulamentação aplicável, do projeto ou de outras necessidades do Utilizador;
•   compatibilidade de hardware e software, vírus, avarias, defeitos, erros ou deficiências;
•   não atualização da folha de cálculo e/ou interrupção da disponibilização da folha de cálculo e/ou rescisão do contrato por qualquer motivo;
•   violação dos direitos de propriedade intelectual de terceiros.
O Utilizador declara que compreende e aceita as exclusões de responsabilidade e limitações de responsabilidade e reclamação do presente Contrato. 
O Utilizador declara igualmente que a folha de cálculo está disponível gratuitamente, que as exclusões e limitações são elementos fundamentais do presente Contrato e que a RB não disponibilizará a sua folha de cálculo ao Utilizador caso as exclusões ou limitações sejam eliminadas ou alteradas a favor deste último.</t>
  </si>
  <si>
    <t>8. RÜCKERSTATTUNG</t>
  </si>
  <si>
    <t>8. REEMBOLSO</t>
  </si>
  <si>
    <t>8. REMBOURSEMENT</t>
  </si>
  <si>
    <t>Der Benutzer akzeptiert, RB, dessen Niederlassungen sowie dessen und deren Führungskräfte, Direktoren, Angestellte, Nachfolger und Beauftragte (jeder von diesen einzeln „Begünstigter“, gemeinsam die „Begünstigten“) für Kosten schadlos zu halten und zu entschädigen, die im Zusammenhang mit von Dritten vorgebrachten Ansprüchen für Schäden oder Verluste entstehen, welche sich aus der Nutzung des Tabellenkalkulationsprogramms seitens des Benutzers (einschließlich, aber nicht beschränkt auf von RB getragene Honorare und Verwaltungskosten) ergeben.</t>
  </si>
  <si>
    <t>El usuario acepta eximir de toda responsabilidad e indemnizar a RB, sus sociedades afiliadas y sus funcionarios, directores, empleados, sucesores, y encargados (cada uno individualmente, "Beneficiario", colectivamente, "Beneficiarios") por los costes sufragados en relación con las reclamaciones presentadas por terceros por daños o pérdidas ocasionados por el uso de la hoja de cálculo por parte del usuario (incluidos, entre otros, honorarios y gastos de gestión sufragados por RB).</t>
  </si>
  <si>
    <t>L'utilisateur accepte d'indemniser et de dégager de toute responsabilité RB, ses sociétés affiliées et son ou ses dirigeants, directeurs, employés, successeurs et mandataires (chacun individuellement, le « Bénéficiaire », collectivement, les « Bénéficiaires ») pour les coûts engagés relativement aux réclamations faites par des tiers pour des dommages ou pertes découlant de l'utilisation de la feuille de calcul par l'utilisateur (incluant, sans s'y limiter, les honoraires et frais de gestion engagés par RB).</t>
  </si>
  <si>
    <t>O Utilizador aceita eximir e isentar a RB, respetivas filiais e executivo(s), diretores, empregados, sucessores e agentes (cada um individualmente, “Beneficiário”, coletivamente, os “Beneficiários”) por custos incorridos em relação a reclamações de terceiros, por danos ou perdas decorrentes da utilização da folha de cálculo pelo Utilizador (incluindo, mas não limitado a, honorários e despesas de gestão suportadas pela RB).</t>
  </si>
  <si>
    <t>9. SONSTIGE</t>
  </si>
  <si>
    <t>9. DISPOSICIONES VARIAS</t>
  </si>
  <si>
    <t>9. DIVERS</t>
  </si>
  <si>
    <t>9. DIVERSOS</t>
  </si>
  <si>
    <t>Diese Allgemeinen Bedingungen bilden die vollständigen Vereinbarungen zwischen RB und dem Benutzer in Bezug auf die Angelegenheit und ersetzen alle vorherigen Vereinbarungen, ob mündlich oder schriftlich, sowie etwaige Absprachen zwischen RB und dem Benutzer.</t>
  </si>
  <si>
    <t>Estas condiciones generales constituyen el acuerdo completo entre RB y el usuario por lo que respecta al asunto en cuestión y sustituyen todos los acuerdos anteriores, tanto orales como escritos, así como cualquier acuerdo entre RB y el usuario.</t>
  </si>
  <si>
    <t>Les présentes conditions générales constituent l'ensemble de l'accord entre RB et l'utilisateur en la matière et remplacent tous les accords précédents, oraux ou écrits, ainsi que les éventuels arrangements entre RB et l'utilisateur.</t>
  </si>
  <si>
    <t>As presentes Condições Gerais constituem o acordo integral entre a RB e o Utilizador em relação ao assunto em questão e substituem todos os acordos anteriores, sejam orais ou escritos, bem como quaisquer acordos entre a RB e o Utilizador.</t>
  </si>
  <si>
    <t>10. SPRACHE</t>
  </si>
  <si>
    <t>10. IDIOMA</t>
  </si>
  <si>
    <t>10. LANGUE</t>
  </si>
  <si>
    <t>Im Falle von Unstimmigkeiten zwischen den Versionen dieser Bedingungen in den verschiedenen Sprachen gilt der italienische Wortlaut als bindend und als im Verhältnis zu den Übersetzungen vorrangig.</t>
  </si>
  <si>
    <t>En caso de diferencias entre las versiones de estas condiciones en los distintos idiomas, el texto italiano es vinculante y prevalece con respecto a las traducciones.</t>
  </si>
  <si>
    <t>En cas de divergence entre les versions des présentes conditions dans les différentes langues, le texte italien fait foi et prévaut sur les traductions.</t>
  </si>
  <si>
    <t>Em caso de divergências entre as versões das presentes Condições nas diferentes línguas, o texto italiano é vinculativo e prevalece sobre as traduções.</t>
  </si>
  <si>
    <t>11. GELTENDES RECHT UND GERICHTSSTAND</t>
  </si>
  <si>
    <t>11. DERECHO APLICABLE Y TRIBUNAL COMPETENTE</t>
  </si>
  <si>
    <t>11. DROIT APPLICABLE ET TRIBUNAL COMPÉTENT</t>
  </si>
  <si>
    <t>11. LEGISLAÇÃO APLICÁVEL E FORO COMPETENTE</t>
  </si>
  <si>
    <t>Diese Vereinbarung sowie jede Beziehung zwischen den Parteien wird ausschließlich durch das italienische Recht geregelt.
Für alle Streitigkeiten, die zwischen den Parteien in Bezug auf diese Vereinbarung auftreten könnten und die diese nicht in der Lage sind, im gegenseitigen Einvernehmen beizulegen, ist ausschließlich das Gericht Bozen zuständig.</t>
  </si>
  <si>
    <t>Este acuerdo y cualquier relación entre las partes se rigen exclusivamente por el derecho italiano.
Cualquier controversia que surja entre las partes en relación con este acuerdo, que estas no sean capaces de resolver amigablemente, será competencia exclusiva de los tribunales de Bolzano.</t>
  </si>
  <si>
    <t>Le présent accord et tout accord entre les parties est régi exclusivement par la loi italienne.
Tout litige éventuel entre les parties concernant le présent accord qu'elles ne réussissent pas à résoudre à l'amiable relèvera de la compétence exclusive du tribunal de Bolzano.</t>
  </si>
  <si>
    <t>O presente acordo e qualquer relação entre as partes é regida exclusivamente pelo direito italiano.
Qualquer litígio que possa surgir entre as partes em relação ao presente acordo, que não possam resolver amigavelmente, será da competência exclusiva do Tribunal de Bolzano.</t>
  </si>
  <si>
    <t>12. DATENSCHUTZ</t>
  </si>
  <si>
    <t>12. PRIVACIDAD</t>
  </si>
  <si>
    <t>12. CONFIDENTIALITÉ</t>
  </si>
  <si>
    <t>12. PRIVACIDADE</t>
  </si>
  <si>
    <t>Siehe hierzu die Datenschutzerklärung unter dem Link:</t>
  </si>
  <si>
    <t>Véase la política de privacidad disponible en el enlace:</t>
  </si>
  <si>
    <t>Veuillez vous référer à la politique de confidentialité disponible au lien :</t>
  </si>
  <si>
    <t>Consulte a política de privacidade disponível no link:</t>
  </si>
  <si>
    <t>ICH AKZEPTIERE</t>
  </si>
  <si>
    <t>ACEPTADA</t>
  </si>
  <si>
    <t>J’ACCEPTE</t>
  </si>
  <si>
    <t>ACEITE</t>
  </si>
  <si>
    <t>(*) Bei Aggregatgrößen von mehr als 15 mm die Bedingungen für den Betonguss bewerten</t>
  </si>
  <si>
    <t>(*) Para diámetros de los áridos superiores a 15 mm, evaluar las condiciones de vertido del hormigón</t>
  </si>
  <si>
    <t>(*) pour les agrégats de taille supérieure à 15 mm, évaluer les conditions de coulage du béton</t>
  </si>
  <si>
    <t>(*) para agregados de dimensão superior a 15 mm, avaliar as condições de colocação do jato de betão</t>
  </si>
  <si>
    <t>(*) Bei nicht symmetrischer Verbindung mit einer einzelnen Verbindungsebene die Steifigkeit verdoppeln</t>
  </si>
  <si>
    <t>(*) Duplicar la rigidez en caso de conexión no simétrica con un solo plano de conexión</t>
  </si>
  <si>
    <t>(*) doubler la rigidité dans le cas d'un assemblage non symétrique avec un seul plan de connexion</t>
  </si>
  <si>
    <t>(*) duplicar a rigidez no caso de ligação não simétrica com um único plano de ligação</t>
  </si>
  <si>
    <t>Min. geforderte Betondeckung</t>
  </si>
  <si>
    <t>Recubrimiento mínimo requerido</t>
  </si>
  <si>
    <t>Enrobage minimum requis</t>
  </si>
  <si>
    <t>Tapa-ferro mínimo requerido</t>
  </si>
  <si>
    <t>Holz</t>
  </si>
  <si>
    <t>Madera</t>
  </si>
  <si>
    <t>Bois</t>
  </si>
  <si>
    <t>Madeira</t>
  </si>
  <si>
    <t>Beiwert</t>
  </si>
  <si>
    <t>Coeficiente</t>
  </si>
  <si>
    <t>EC 1995-1-1:2014</t>
  </si>
  <si>
    <t>EC 1992-1-1:2015</t>
  </si>
  <si>
    <t>ETA-22/0806 (2023/05)</t>
  </si>
  <si>
    <t>Wirksame Anzahl in axialer Richtung (nicht erforderlich)</t>
  </si>
  <si>
    <t>Wirksame Anzahl in Richtung Querkraft (nicht erforderlich)</t>
  </si>
  <si>
    <t>Untere Fasern unter Zugspannung</t>
  </si>
  <si>
    <t>+ untere Fasern unter Zugspannung</t>
  </si>
  <si>
    <t>- obere Fasern unter Zugspannung</t>
  </si>
  <si>
    <t>Schraubentyp</t>
  </si>
  <si>
    <t>Schalung (Y/N)</t>
  </si>
  <si>
    <t>Min. Länge Verankerung (Beton)</t>
  </si>
  <si>
    <t>Min. Länge Überlappung (Beton)</t>
  </si>
  <si>
    <t>Min. Penetrationslänge (Holz)</t>
  </si>
  <si>
    <t>Korndurchmesser (*)</t>
  </si>
  <si>
    <t>Min. Betondeckung Längsbewehrung</t>
  </si>
  <si>
    <t>Wirksame Breite Betonbalken</t>
  </si>
  <si>
    <t>Abstand zur tatsächlichen Kante der Schrauben</t>
  </si>
  <si>
    <t>Überprüfung der Kohärenz Position Schrauben/Bewehrung</t>
  </si>
  <si>
    <t>(*) Es wird angenommen, dass die Schraube im Betonbalken bis zum gegenüberliegenden Betonstahl hineinreicht</t>
  </si>
  <si>
    <t>Drehfedersteifigkeit (*)</t>
  </si>
  <si>
    <t xml:space="preserve">Gedrückter Bereich erste Lamelle </t>
  </si>
  <si>
    <t xml:space="preserve">Gedrückter Bereich zweite Lamelle </t>
  </si>
  <si>
    <t xml:space="preserve">Gedrückter Bereich dritte Lamelle </t>
  </si>
  <si>
    <t>Hebelsarm</t>
  </si>
  <si>
    <t>Max. Kraft auf alle Schrauben</t>
  </si>
  <si>
    <t>Max. Kraft auf einzelne Schraube (*)</t>
  </si>
  <si>
    <t>Max. Kraft Schrauben in Ebene auf einzelne obere Schraube</t>
  </si>
  <si>
    <t>Max. Kraft Schrauben in Ebene auf einzelne untere Schraube</t>
  </si>
  <si>
    <t>Max. Kraft Schrauben außerhalb Ebene auf einzelne obere Schraube</t>
  </si>
  <si>
    <t>Max. Kraft Schrauben außerhalb Ebene auf einzelne untere Schraube</t>
  </si>
  <si>
    <t>Kombinierte Kraft auf einzelne obere Schraube</t>
  </si>
  <si>
    <t>Kombinierte Kraft auf einzelne untere Schraube</t>
  </si>
  <si>
    <t>(*) Es wird angenommen, dass die Zugkraft nur von den Schrauben an der unteren Linie aufgenommen wird</t>
  </si>
  <si>
    <t>Obere Fasern unter Zugspannung</t>
  </si>
  <si>
    <t>Min. Länge Überlappung</t>
  </si>
  <si>
    <t>Länge des Bereiches unter Druckspannung Berechnung für Steifigkeit</t>
  </si>
  <si>
    <t>Schrauben im Bereich unter Zugspannung</t>
  </si>
  <si>
    <t>Verformung gedrückter Bereich</t>
  </si>
  <si>
    <t>Abstand Linie untere Schrauben von der CLT-Kante</t>
  </si>
  <si>
    <t>Schalung</t>
  </si>
  <si>
    <t>tc_fusion_calculator v. 1.10</t>
  </si>
  <si>
    <r>
      <rPr>
        <sz val="12"/>
        <color theme="1"/>
        <rFont val="Verdana"/>
        <family val="2"/>
      </rPr>
      <t>n</t>
    </r>
    <r>
      <rPr>
        <sz val="9"/>
        <color theme="1"/>
        <rFont val="Verdana"/>
        <family val="2"/>
      </rPr>
      <t>yd</t>
    </r>
  </si>
  <si>
    <r>
      <rPr>
        <sz val="12"/>
        <color theme="1"/>
        <rFont val="Verdana"/>
        <family val="2"/>
      </rPr>
      <t>v</t>
    </r>
    <r>
      <rPr>
        <sz val="9"/>
        <color theme="1"/>
        <rFont val="Verdana"/>
        <family val="2"/>
      </rPr>
      <t>xd</t>
    </r>
  </si>
  <si>
    <r>
      <rPr>
        <sz val="12"/>
        <color theme="1"/>
        <rFont val="Verdana"/>
        <family val="2"/>
      </rPr>
      <t>v</t>
    </r>
    <r>
      <rPr>
        <sz val="9"/>
        <color theme="1"/>
        <rFont val="Verdana"/>
        <family val="2"/>
      </rPr>
      <t>zd</t>
    </r>
  </si>
  <si>
    <r>
      <rPr>
        <sz val="12"/>
        <color theme="1"/>
        <rFont val="Verdana"/>
        <family val="2"/>
      </rPr>
      <t>m</t>
    </r>
    <r>
      <rPr>
        <sz val="9"/>
        <color theme="1"/>
        <rFont val="Verdana"/>
        <family val="2"/>
      </rPr>
      <t>xd</t>
    </r>
  </si>
  <si>
    <r>
      <rPr>
        <sz val="12"/>
        <color theme="1"/>
        <rFont val="Verdana"/>
        <family val="2"/>
      </rPr>
      <t>m</t>
    </r>
    <r>
      <rPr>
        <sz val="9"/>
        <color theme="1"/>
        <rFont val="Verdana"/>
        <family val="2"/>
      </rPr>
      <t>xyd</t>
    </r>
  </si>
  <si>
    <t>Taglio perpendicolare alla connessione, direzione-x</t>
  </si>
  <si>
    <t>Azione assiale parallella alla connessione</t>
  </si>
  <si>
    <t>Momento flettente parallelo alla connessione</t>
  </si>
  <si>
    <t>(flessione cordolo in calcestruzzo)</t>
  </si>
  <si>
    <t>(concrete beam bending)</t>
  </si>
  <si>
    <t>(Biegung von Betonbalken)</t>
  </si>
  <si>
    <t>(flexión de vigas de hormigón)</t>
  </si>
  <si>
    <t>(flexion d'une poutre en béton)</t>
  </si>
  <si>
    <t>(flexão de vigas de betão)</t>
  </si>
  <si>
    <t>Momento perpendicolare alla connessione, piano-xz</t>
  </si>
  <si>
    <t>Ação axial paralela à ligação</t>
  </si>
  <si>
    <t>Action axiale parallèle à la connexion</t>
  </si>
  <si>
    <t>Acción axial paralela a la conexión</t>
  </si>
  <si>
    <t>Axial force parallel to the connection</t>
  </si>
  <si>
    <t>Shear perpendicular to the connection, x-direction</t>
  </si>
  <si>
    <t>Corte perpendicular a la conexión, dirección-x</t>
  </si>
  <si>
    <t>Coupe perpendiculaire à la connexion, direction-x</t>
  </si>
  <si>
    <t>Corte perpendicular à ligação, direção-x</t>
  </si>
  <si>
    <t>Momento fletor paralelo à ligação</t>
  </si>
  <si>
    <t>Moment de flexion parallèle à la connexion</t>
  </si>
  <si>
    <t>Momento flector paralelo a la conexión</t>
  </si>
  <si>
    <t>Biegemoment parallel zur Verbindung</t>
  </si>
  <si>
    <t>Bending moment parallel to the connection</t>
  </si>
  <si>
    <t>Moment perpendicular to the connection, plane-xz</t>
  </si>
  <si>
    <t>Momento perpendicular a la conexión, plano-xz</t>
  </si>
  <si>
    <t>Momentum perpendiculaire à la connexion, plan-xz</t>
  </si>
  <si>
    <t>Momento perpendicular à ligação, plano-xz</t>
  </si>
  <si>
    <t>[kNmm/Rad/m]</t>
  </si>
  <si>
    <t>[Rad]</t>
  </si>
  <si>
    <t>Taglio perpendicolare alla connessione, direzione-z</t>
  </si>
  <si>
    <t>Shear perpendicular to the connection, z-direction</t>
  </si>
  <si>
    <t>Corte perpendicular a la conexión, dirección-z</t>
  </si>
  <si>
    <t>Coupe perpendiculaire à la connexion, direction-z</t>
  </si>
  <si>
    <t>Corte perpendicular à ligação, direção-z</t>
  </si>
  <si>
    <t>tc_fusion_calculator
v.1.10</t>
  </si>
  <si>
    <t>GENERAL TERMS AND CONDITIONS OF THE LICENSE AGREEMENT FOR THE USE OF THE SPREADSHEET "TC_FUSION_CALCULATOR"</t>
  </si>
  <si>
    <t>Normalkraft senkrecht zum Anschluss</t>
  </si>
  <si>
    <t>Moment senkrecht zur Verbindung, Ebene-xz</t>
  </si>
  <si>
    <t>Querkraft in x-Richtung</t>
  </si>
  <si>
    <t>Querkraft in z-Richtung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</si>
</sst>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
    <numFmt numFmtId="166" formatCode="0.000"/>
    <numFmt numFmtId="167" formatCode="0.00000"/>
  </numFmts>
  <fonts count="40">
    <font>
      <sz val="10"/>
      <color theme="1"/>
      <name val="Verdana"/>
      <family val="2"/>
    </font>
    <font>
      <sz val="10"/>
      <color theme="1"/>
      <name val="Symbol"/>
      <family val="1"/>
      <charset val="2"/>
    </font>
    <font>
      <sz val="10"/>
      <color theme="1"/>
      <name val="Verdana"/>
      <family val="1"/>
      <charset val="2"/>
    </font>
    <font>
      <sz val="8"/>
      <name val="Verdana"/>
      <family val="2"/>
    </font>
    <font>
      <sz val="9"/>
      <color indexed="81"/>
      <name val="Tahoma"/>
      <family val="2"/>
    </font>
    <font>
      <b/>
      <sz val="9"/>
      <color indexed="81"/>
      <name val="Tahoma"/>
      <family val="2"/>
    </font>
    <font>
      <sz val="10"/>
      <color theme="2"/>
      <name val="Verdana"/>
      <family val="2"/>
    </font>
    <font>
      <sz val="10"/>
      <color rgb="FF0070C0"/>
      <name val="Verdana"/>
      <family val="2"/>
    </font>
    <font>
      <sz val="10"/>
      <color rgb="FFFF0000"/>
      <name val="Verdana"/>
      <family val="2"/>
    </font>
    <font>
      <strike/>
      <sz val="10"/>
      <color theme="1"/>
      <name val="Verdana"/>
      <family val="2"/>
    </font>
    <font>
      <b/>
      <sz val="10"/>
      <color rgb="FF00B050"/>
      <name val="Verdana"/>
      <family val="2"/>
    </font>
    <font>
      <b/>
      <sz val="10"/>
      <color rgb="FF0070C0"/>
      <name val="Verdana"/>
      <family val="2"/>
    </font>
    <font>
      <b/>
      <sz val="10"/>
      <color theme="7" tint="-0.249977111117893"/>
      <name val="Verdana"/>
      <family val="2"/>
    </font>
    <font>
      <sz val="10"/>
      <color rgb="FF00B050"/>
      <name val="Verdana"/>
      <family val="2"/>
    </font>
    <font>
      <b/>
      <sz val="10"/>
      <color theme="1"/>
      <name val="Verdana"/>
      <family val="2"/>
    </font>
    <font>
      <b/>
      <sz val="10"/>
      <color rgb="FFFF0000"/>
      <name val="Verdana"/>
      <family val="2"/>
    </font>
    <font>
      <vertAlign val="superscript"/>
      <sz val="10"/>
      <color theme="1"/>
      <name val="Verdana"/>
      <family val="2"/>
    </font>
    <font>
      <vertAlign val="subscript"/>
      <sz val="10"/>
      <color theme="1"/>
      <name val="Verdana"/>
      <family val="2"/>
    </font>
    <font>
      <sz val="10"/>
      <color theme="6" tint="0.39997558519241921"/>
      <name val="Verdana"/>
      <family val="2"/>
    </font>
    <font>
      <sz val="10"/>
      <color theme="0" tint="-0.249977111117893"/>
      <name val="Verdana"/>
      <family val="2"/>
    </font>
    <font>
      <strike/>
      <sz val="10"/>
      <color theme="2"/>
      <name val="Verdana"/>
      <family val="2"/>
    </font>
    <font>
      <b/>
      <sz val="10"/>
      <color theme="1"/>
      <name val="Symbol"/>
      <family val="1"/>
      <charset val="2"/>
    </font>
    <font>
      <sz val="10"/>
      <name val="Verdana"/>
      <family val="2"/>
    </font>
    <font>
      <sz val="10"/>
      <color theme="0" tint="-0.34998626667073579"/>
      <name val="Verdana"/>
      <family val="2"/>
    </font>
    <font>
      <sz val="10"/>
      <color theme="0" tint="-0.14999847407452621"/>
      <name val="Verdana"/>
      <family val="2"/>
    </font>
    <font>
      <b/>
      <sz val="14"/>
      <color theme="1"/>
      <name val="Verdana"/>
      <family val="2"/>
    </font>
    <font>
      <sz val="9"/>
      <color theme="1"/>
      <name val="Verdana"/>
      <family val="2"/>
    </font>
    <font>
      <b/>
      <sz val="10"/>
      <color theme="1"/>
      <name val="Verdana"/>
      <family val="1"/>
      <charset val="2"/>
    </font>
    <font>
      <b/>
      <sz val="10"/>
      <name val="Verdana"/>
      <family val="2"/>
    </font>
    <font>
      <i/>
      <sz val="10"/>
      <color theme="1"/>
      <name val="Verdana"/>
      <family val="2"/>
    </font>
    <font>
      <b/>
      <sz val="10"/>
      <color theme="0"/>
      <name val="Verdana"/>
      <family val="2"/>
    </font>
    <font>
      <sz val="10"/>
      <color theme="0"/>
      <name val="Verdana"/>
      <family val="2"/>
    </font>
    <font>
      <b/>
      <sz val="11"/>
      <color theme="1"/>
      <name val="Verdana"/>
      <family val="2"/>
    </font>
    <font>
      <b/>
      <sz val="13"/>
      <color theme="0"/>
      <name val="Verdana"/>
      <family val="2"/>
    </font>
    <font>
      <b/>
      <sz val="14"/>
      <color theme="0"/>
      <name val="Verdana"/>
      <family val="2"/>
    </font>
    <font>
      <b/>
      <u/>
      <sz val="14"/>
      <color theme="0"/>
      <name val="Verdana"/>
      <family val="2"/>
    </font>
    <font>
      <u/>
      <sz val="10"/>
      <color theme="10"/>
      <name val="Verdana"/>
      <family val="2"/>
    </font>
    <font>
      <b/>
      <sz val="12"/>
      <color theme="1"/>
      <name val="Verdana"/>
      <family val="2"/>
    </font>
    <font>
      <sz val="8"/>
      <color theme="1"/>
      <name val="Verdana"/>
      <family val="2"/>
    </font>
    <font>
      <sz val="12"/>
      <color theme="1"/>
      <name val="Verdana"/>
      <family val="2"/>
    </font>
  </fonts>
  <fills count="13">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00B0F0"/>
        <bgColor indexed="64"/>
      </patternFill>
    </fill>
    <fill>
      <patternFill patternType="solid">
        <fgColor rgb="FFC00000"/>
        <bgColor indexed="64"/>
      </patternFill>
    </fill>
    <fill>
      <patternFill patternType="solid">
        <fgColor theme="1"/>
        <bgColor indexed="64"/>
      </patternFill>
    </fill>
    <fill>
      <patternFill patternType="solid">
        <fgColor theme="5" tint="0.39997558519241921"/>
        <bgColor indexed="64"/>
      </patternFill>
    </fill>
  </fills>
  <borders count="4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theme="9" tint="0.59999389629810485"/>
      </left>
      <right/>
      <top style="dotted">
        <color theme="9" tint="0.59999389629810485"/>
      </top>
      <bottom/>
      <diagonal/>
    </border>
    <border>
      <left/>
      <right/>
      <top style="dotted">
        <color theme="9" tint="0.59999389629810485"/>
      </top>
      <bottom/>
      <diagonal/>
    </border>
    <border>
      <left/>
      <right style="dotted">
        <color theme="9" tint="0.59999389629810485"/>
      </right>
      <top style="dotted">
        <color theme="9" tint="0.59999389629810485"/>
      </top>
      <bottom/>
      <diagonal/>
    </border>
    <border>
      <left style="dotted">
        <color theme="9" tint="0.59999389629810485"/>
      </left>
      <right/>
      <top/>
      <bottom/>
      <diagonal/>
    </border>
    <border>
      <left/>
      <right style="dotted">
        <color theme="9" tint="0.59999389629810485"/>
      </right>
      <top/>
      <bottom/>
      <diagonal/>
    </border>
    <border>
      <left style="dotted">
        <color theme="9" tint="0.59999389629810485"/>
      </left>
      <right/>
      <top/>
      <bottom style="dotted">
        <color theme="9" tint="0.59999389629810485"/>
      </bottom>
      <diagonal/>
    </border>
    <border>
      <left/>
      <right/>
      <top/>
      <bottom style="dotted">
        <color theme="9" tint="0.59999389629810485"/>
      </bottom>
      <diagonal/>
    </border>
    <border>
      <left/>
      <right style="dotted">
        <color theme="9" tint="0.59999389629810485"/>
      </right>
      <top/>
      <bottom style="dotted">
        <color theme="9" tint="0.59999389629810485"/>
      </bottom>
      <diagonal/>
    </border>
    <border>
      <left/>
      <right/>
      <top/>
      <bottom style="dotted">
        <color theme="9" tint="0.59996337778862885"/>
      </bottom>
      <diagonal/>
    </border>
    <border>
      <left style="dotted">
        <color theme="9" tint="0.59996337778862885"/>
      </left>
      <right/>
      <top style="dotted">
        <color theme="9" tint="0.59996337778862885"/>
      </top>
      <bottom/>
      <diagonal/>
    </border>
    <border>
      <left/>
      <right/>
      <top style="dotted">
        <color theme="9" tint="0.59996337778862885"/>
      </top>
      <bottom/>
      <diagonal/>
    </border>
    <border>
      <left/>
      <right style="dotted">
        <color theme="9" tint="0.59996337778862885"/>
      </right>
      <top style="dotted">
        <color theme="9" tint="0.59996337778862885"/>
      </top>
      <bottom/>
      <diagonal/>
    </border>
    <border>
      <left style="dotted">
        <color theme="9" tint="0.59996337778862885"/>
      </left>
      <right/>
      <top/>
      <bottom/>
      <diagonal/>
    </border>
    <border>
      <left/>
      <right style="dotted">
        <color theme="9" tint="0.59996337778862885"/>
      </right>
      <top/>
      <bottom/>
      <diagonal/>
    </border>
    <border>
      <left style="dotted">
        <color theme="9" tint="0.59996337778862885"/>
      </left>
      <right/>
      <top/>
      <bottom style="dotted">
        <color theme="9" tint="0.59996337778862885"/>
      </bottom>
      <diagonal/>
    </border>
    <border>
      <left/>
      <right style="dotted">
        <color theme="9" tint="0.59996337778862885"/>
      </right>
      <top/>
      <bottom style="dotted">
        <color theme="9" tint="0.59996337778862885"/>
      </bottom>
      <diagonal/>
    </border>
    <border>
      <left style="dotted">
        <color theme="4" tint="-0.24994659260841701"/>
      </left>
      <right/>
      <top style="dotted">
        <color theme="4" tint="-0.24994659260841701"/>
      </top>
      <bottom style="dotted">
        <color theme="4" tint="-0.24994659260841701"/>
      </bottom>
      <diagonal/>
    </border>
    <border>
      <left/>
      <right/>
      <top style="dotted">
        <color theme="4" tint="-0.24994659260841701"/>
      </top>
      <bottom style="dotted">
        <color theme="4" tint="-0.24994659260841701"/>
      </bottom>
      <diagonal/>
    </border>
    <border>
      <left/>
      <right style="thin">
        <color indexed="64"/>
      </right>
      <top style="dotted">
        <color theme="4" tint="-0.24994659260841701"/>
      </top>
      <bottom style="dotted">
        <color theme="4" tint="-0.24994659260841701"/>
      </bottom>
      <diagonal/>
    </border>
    <border>
      <left style="dotted">
        <color theme="4" tint="-0.24994659260841701"/>
      </left>
      <right/>
      <top style="dotted">
        <color theme="4" tint="-0.24994659260841701"/>
      </top>
      <bottom style="thin">
        <color indexed="64"/>
      </bottom>
      <diagonal/>
    </border>
    <border>
      <left/>
      <right/>
      <top style="dotted">
        <color theme="4" tint="-0.24994659260841701"/>
      </top>
      <bottom style="thin">
        <color indexed="64"/>
      </bottom>
      <diagonal/>
    </border>
    <border>
      <left/>
      <right style="thin">
        <color indexed="64"/>
      </right>
      <top style="dotted">
        <color theme="4" tint="-0.24994659260841701"/>
      </top>
      <bottom style="thin">
        <color indexed="64"/>
      </bottom>
      <diagonal/>
    </border>
    <border>
      <left style="dotted">
        <color theme="4" tint="-0.24994659260841701"/>
      </left>
      <right style="thin">
        <color indexed="64"/>
      </right>
      <top style="thin">
        <color indexed="64"/>
      </top>
      <bottom style="dotted">
        <color theme="4" tint="-0.24994659260841701"/>
      </bottom>
      <diagonal/>
    </border>
    <border>
      <left style="dotted">
        <color theme="4" tint="-0.24994659260841701"/>
      </left>
      <right style="dotted">
        <color theme="4" tint="-0.24994659260841701"/>
      </right>
      <top style="dotted">
        <color theme="4" tint="-0.24994659260841701"/>
      </top>
      <bottom style="dotted">
        <color theme="4" tint="-0.24994659260841701"/>
      </bottom>
      <diagonal/>
    </border>
    <border>
      <left style="dotted">
        <color theme="4" tint="-0.24994659260841701"/>
      </left>
      <right style="dotted">
        <color theme="4" tint="-0.24994659260841701"/>
      </right>
      <top style="dotted">
        <color theme="4" tint="-0.24994659260841701"/>
      </top>
      <bottom style="thin">
        <color indexed="64"/>
      </bottom>
      <diagonal/>
    </border>
    <border>
      <left style="dotted">
        <color theme="4" tint="-0.24994659260841701"/>
      </left>
      <right style="dotted">
        <color theme="4" tint="-0.24994659260841701"/>
      </right>
      <top style="thin">
        <color indexed="64"/>
      </top>
      <bottom style="dotted">
        <color theme="4" tint="-0.24994659260841701"/>
      </bottom>
      <diagonal/>
    </border>
    <border>
      <left/>
      <right style="dotted">
        <color theme="4" tint="-0.24994659260841701"/>
      </right>
      <top style="dotted">
        <color theme="4" tint="-0.24994659260841701"/>
      </top>
      <bottom style="dotted">
        <color theme="4" tint="-0.24994659260841701"/>
      </bottom>
      <diagonal/>
    </border>
    <border>
      <left/>
      <right style="dotted">
        <color theme="9" tint="0.39985351115451523"/>
      </right>
      <top style="dotted">
        <color theme="9" tint="0.39985351115451523"/>
      </top>
      <bottom style="dotted">
        <color theme="9" tint="0.39985351115451523"/>
      </bottom>
      <diagonal/>
    </border>
    <border>
      <left style="dotted">
        <color theme="4" tint="-0.24994659260841701"/>
      </left>
      <right style="dotted">
        <color theme="4" tint="-0.24994659260841701"/>
      </right>
      <top style="dotted">
        <color theme="4" tint="-0.24994659260841701"/>
      </top>
      <bottom/>
      <diagonal/>
    </border>
    <border>
      <left style="dotted">
        <color theme="4" tint="-0.24994659260841701"/>
      </left>
      <right style="dotted">
        <color theme="4" tint="-0.24994659260841701"/>
      </right>
      <top/>
      <bottom style="dotted">
        <color theme="4" tint="-0.24994659260841701"/>
      </bottom>
      <diagonal/>
    </border>
    <border>
      <left style="dotted">
        <color theme="4" tint="-0.24994659260841701"/>
      </left>
      <right style="dotted">
        <color theme="4" tint="-0.24994659260841701"/>
      </right>
      <top/>
      <bottom style="thin">
        <color indexed="64"/>
      </bottom>
      <diagonal/>
    </border>
  </borders>
  <cellStyleXfs count="2">
    <xf numFmtId="0" fontId="0" fillId="0" borderId="0"/>
    <xf numFmtId="0" fontId="36" fillId="0" borderId="0" applyNumberFormat="0" applyFill="0" applyBorder="0" applyAlignment="0" applyProtection="0"/>
  </cellStyleXfs>
  <cellXfs count="285">
    <xf numFmtId="0" fontId="0" fillId="0" borderId="0" xfId="0"/>
    <xf numFmtId="0" fontId="2" fillId="0" borderId="0" xfId="0" applyFont="1"/>
    <xf numFmtId="0" fontId="0" fillId="0" borderId="0" xfId="0" applyAlignment="1">
      <alignment horizontal="center"/>
    </xf>
    <xf numFmtId="1" fontId="0" fillId="0" borderId="0" xfId="0" applyNumberFormat="1" applyAlignment="1">
      <alignment horizontal="center"/>
    </xf>
    <xf numFmtId="164" fontId="0" fillId="0" borderId="0" xfId="0" applyNumberFormat="1"/>
    <xf numFmtId="0" fontId="6" fillId="0" borderId="0" xfId="0" applyFont="1"/>
    <xf numFmtId="0" fontId="0" fillId="3" borderId="0" xfId="0" applyFill="1"/>
    <xf numFmtId="0" fontId="8" fillId="0" borderId="0" xfId="0" applyFont="1"/>
    <xf numFmtId="164" fontId="8" fillId="0" borderId="0" xfId="0" applyNumberFormat="1" applyFont="1"/>
    <xf numFmtId="1" fontId="0" fillId="0" borderId="0" xfId="0" applyNumberFormat="1"/>
    <xf numFmtId="0" fontId="0" fillId="0" borderId="2" xfId="0" applyBorder="1"/>
    <xf numFmtId="0" fontId="0" fillId="0" borderId="3" xfId="0" applyBorder="1"/>
    <xf numFmtId="0" fontId="0" fillId="0" borderId="5" xfId="0" applyBorder="1"/>
    <xf numFmtId="0" fontId="0" fillId="0" borderId="7" xfId="0" applyBorder="1"/>
    <xf numFmtId="0" fontId="0" fillId="0" borderId="8" xfId="0" applyBorder="1"/>
    <xf numFmtId="0" fontId="7" fillId="0" borderId="0" xfId="0" applyFont="1"/>
    <xf numFmtId="164" fontId="0" fillId="0" borderId="0" xfId="0" applyNumberFormat="1" applyAlignment="1">
      <alignment horizontal="center"/>
    </xf>
    <xf numFmtId="0" fontId="1" fillId="0" borderId="0" xfId="0" applyFont="1" applyAlignment="1">
      <alignment horizontal="center"/>
    </xf>
    <xf numFmtId="165" fontId="0" fillId="0" borderId="0" xfId="0" applyNumberFormat="1"/>
    <xf numFmtId="0" fontId="0" fillId="0" borderId="9" xfId="0" applyBorder="1"/>
    <xf numFmtId="0" fontId="0" fillId="0" borderId="10" xfId="0" applyBorder="1"/>
    <xf numFmtId="0" fontId="0" fillId="0" borderId="11" xfId="0" applyBorder="1"/>
    <xf numFmtId="0" fontId="0" fillId="0" borderId="12" xfId="0" applyBorder="1"/>
    <xf numFmtId="0" fontId="0" fillId="0" borderId="14" xfId="0" applyBorder="1"/>
    <xf numFmtId="164" fontId="0" fillId="0" borderId="15" xfId="0" applyNumberFormat="1" applyBorder="1"/>
    <xf numFmtId="164" fontId="0" fillId="0" borderId="13" xfId="0" applyNumberFormat="1" applyBorder="1"/>
    <xf numFmtId="164" fontId="0" fillId="0" borderId="16" xfId="0" applyNumberFormat="1" applyBorder="1"/>
    <xf numFmtId="0" fontId="13" fillId="0" borderId="0" xfId="0" applyFont="1"/>
    <xf numFmtId="0" fontId="13" fillId="0" borderId="13" xfId="0" applyFont="1" applyBorder="1"/>
    <xf numFmtId="0" fontId="14" fillId="0" borderId="0" xfId="0" applyFont="1"/>
    <xf numFmtId="0" fontId="0" fillId="2" borderId="0" xfId="0" applyFill="1"/>
    <xf numFmtId="0" fontId="14" fillId="0" borderId="1" xfId="0" applyFont="1" applyBorder="1"/>
    <xf numFmtId="0" fontId="0" fillId="0" borderId="4" xfId="0" applyBorder="1"/>
    <xf numFmtId="0" fontId="0" fillId="0" borderId="6" xfId="0" applyBorder="1"/>
    <xf numFmtId="0" fontId="0" fillId="0" borderId="0" xfId="0" applyAlignment="1">
      <alignment horizontal="right"/>
    </xf>
    <xf numFmtId="0" fontId="0" fillId="0" borderId="0" xfId="0" applyAlignment="1">
      <alignment horizontal="center" vertical="center"/>
    </xf>
    <xf numFmtId="2" fontId="0" fillId="0" borderId="0" xfId="0" applyNumberFormat="1" applyAlignment="1">
      <alignment horizontal="center"/>
    </xf>
    <xf numFmtId="0" fontId="9" fillId="0" borderId="0" xfId="0" applyFont="1"/>
    <xf numFmtId="0" fontId="0" fillId="0" borderId="0" xfId="0" applyAlignment="1">
      <alignment vertical="center"/>
    </xf>
    <xf numFmtId="0" fontId="7" fillId="0" borderId="12" xfId="0" applyFont="1" applyBorder="1"/>
    <xf numFmtId="0" fontId="7" fillId="0" borderId="14" xfId="0" applyFont="1" applyBorder="1"/>
    <xf numFmtId="0" fontId="7" fillId="0" borderId="15" xfId="0" applyFont="1" applyBorder="1"/>
    <xf numFmtId="0" fontId="18" fillId="0" borderId="0" xfId="0" applyFont="1"/>
    <xf numFmtId="0" fontId="18" fillId="0" borderId="15" xfId="0" applyFont="1" applyBorder="1"/>
    <xf numFmtId="0" fontId="19" fillId="0" borderId="0" xfId="0" applyFont="1"/>
    <xf numFmtId="0" fontId="19" fillId="0" borderId="2" xfId="0" applyFont="1" applyBorder="1"/>
    <xf numFmtId="0" fontId="19" fillId="0" borderId="2" xfId="0" applyFont="1" applyBorder="1" applyAlignment="1">
      <alignment horizontal="center"/>
    </xf>
    <xf numFmtId="0" fontId="19" fillId="0" borderId="3" xfId="0" applyFont="1" applyBorder="1"/>
    <xf numFmtId="0" fontId="19" fillId="0" borderId="0" xfId="0" applyFont="1" applyAlignment="1">
      <alignment horizontal="center"/>
    </xf>
    <xf numFmtId="0" fontId="19" fillId="0" borderId="5" xfId="0" applyFont="1" applyBorder="1"/>
    <xf numFmtId="0" fontId="19" fillId="0" borderId="6" xfId="0" applyFont="1" applyBorder="1" applyAlignment="1">
      <alignment horizontal="center" vertical="center"/>
    </xf>
    <xf numFmtId="0" fontId="19" fillId="0" borderId="7" xfId="0" applyFont="1" applyBorder="1"/>
    <xf numFmtId="0" fontId="19" fillId="0" borderId="7" xfId="0" applyFont="1" applyBorder="1" applyAlignment="1">
      <alignment horizontal="center"/>
    </xf>
    <xf numFmtId="0" fontId="19" fillId="0" borderId="8" xfId="0" applyFont="1" applyBorder="1"/>
    <xf numFmtId="164" fontId="19" fillId="0" borderId="0" xfId="0" applyNumberFormat="1" applyFont="1" applyAlignment="1">
      <alignment horizontal="center"/>
    </xf>
    <xf numFmtId="164" fontId="19" fillId="0" borderId="7" xfId="0" applyNumberFormat="1" applyFont="1" applyBorder="1" applyAlignment="1">
      <alignment horizontal="center"/>
    </xf>
    <xf numFmtId="164" fontId="6" fillId="0" borderId="0" xfId="0" applyNumberFormat="1" applyFont="1"/>
    <xf numFmtId="165" fontId="6" fillId="0" borderId="0" xfId="0" applyNumberFormat="1" applyFont="1"/>
    <xf numFmtId="1" fontId="6" fillId="0" borderId="0" xfId="0" applyNumberFormat="1" applyFont="1"/>
    <xf numFmtId="0" fontId="6" fillId="3" borderId="0" xfId="0" applyFont="1" applyFill="1"/>
    <xf numFmtId="0" fontId="20" fillId="3" borderId="0" xfId="0" applyFont="1" applyFill="1"/>
    <xf numFmtId="164" fontId="6" fillId="3" borderId="0" xfId="0" applyNumberFormat="1" applyFont="1" applyFill="1"/>
    <xf numFmtId="2" fontId="6" fillId="0" borderId="0" xfId="0" applyNumberFormat="1" applyFont="1"/>
    <xf numFmtId="0" fontId="23" fillId="0" borderId="0" xfId="0" applyFont="1"/>
    <xf numFmtId="0" fontId="24" fillId="0" borderId="0" xfId="0" applyFont="1"/>
    <xf numFmtId="1" fontId="24" fillId="0" borderId="0" xfId="0" applyNumberFormat="1" applyFont="1"/>
    <xf numFmtId="164" fontId="24" fillId="0" borderId="0" xfId="0" applyNumberFormat="1" applyFont="1"/>
    <xf numFmtId="0" fontId="2" fillId="0" borderId="0" xfId="0" applyFont="1" applyAlignment="1">
      <alignment horizontal="center"/>
    </xf>
    <xf numFmtId="0" fontId="0" fillId="5" borderId="0" xfId="0" applyFill="1"/>
    <xf numFmtId="0" fontId="0" fillId="5" borderId="0" xfId="0" applyFill="1" applyAlignment="1">
      <alignment horizontal="center"/>
    </xf>
    <xf numFmtId="0" fontId="0" fillId="0" borderId="2" xfId="0" applyBorder="1" applyAlignment="1">
      <alignment horizontal="center" vertical="center"/>
    </xf>
    <xf numFmtId="0" fontId="0" fillId="0" borderId="2" xfId="0" applyBorder="1" applyAlignment="1">
      <alignment vertical="center"/>
    </xf>
    <xf numFmtId="14" fontId="0" fillId="0" borderId="2" xfId="0" applyNumberFormat="1" applyBorder="1" applyAlignment="1">
      <alignment horizontal="center" vertical="center"/>
    </xf>
    <xf numFmtId="0" fontId="0" fillId="0" borderId="7" xfId="0" applyBorder="1" applyAlignment="1">
      <alignment horizontal="center" vertical="center"/>
    </xf>
    <xf numFmtId="0" fontId="0" fillId="0" borderId="7" xfId="0" applyBorder="1" applyAlignment="1">
      <alignment vertical="center"/>
    </xf>
    <xf numFmtId="0" fontId="0" fillId="0" borderId="3" xfId="0" applyBorder="1" applyAlignment="1">
      <alignment vertical="center"/>
    </xf>
    <xf numFmtId="0" fontId="19" fillId="0" borderId="5" xfId="0" applyFont="1" applyBorder="1" applyAlignment="1">
      <alignment vertical="center"/>
    </xf>
    <xf numFmtId="0" fontId="19" fillId="0" borderId="7" xfId="0" applyFont="1" applyBorder="1" applyAlignment="1">
      <alignment vertical="center"/>
    </xf>
    <xf numFmtId="0" fontId="19" fillId="0" borderId="8" xfId="0" applyFont="1" applyBorder="1" applyAlignment="1">
      <alignment vertical="center"/>
    </xf>
    <xf numFmtId="0" fontId="0" fillId="0" borderId="5" xfId="0" applyBorder="1" applyAlignment="1">
      <alignment vertical="center"/>
    </xf>
    <xf numFmtId="0" fontId="0" fillId="0" borderId="8" xfId="0" applyBorder="1" applyAlignment="1">
      <alignment vertical="center"/>
    </xf>
    <xf numFmtId="164" fontId="0" fillId="0" borderId="0" xfId="0" applyNumberFormat="1" applyAlignment="1">
      <alignment horizontal="center" vertical="center"/>
    </xf>
    <xf numFmtId="1" fontId="0" fillId="0" borderId="0" xfId="0" applyNumberFormat="1" applyAlignment="1">
      <alignment horizontal="center" vertical="center"/>
    </xf>
    <xf numFmtId="0" fontId="0" fillId="0" borderId="3" xfId="0" applyBorder="1" applyAlignment="1">
      <alignment horizontal="center" vertical="center"/>
    </xf>
    <xf numFmtId="164" fontId="0" fillId="0" borderId="2" xfId="0" applyNumberFormat="1" applyBorder="1" applyAlignment="1">
      <alignment horizontal="center" vertical="center"/>
    </xf>
    <xf numFmtId="0" fontId="22" fillId="0" borderId="0" xfId="0" applyFont="1" applyAlignment="1">
      <alignment vertical="center"/>
    </xf>
    <xf numFmtId="0" fontId="22" fillId="0" borderId="0" xfId="0" applyFont="1" applyAlignment="1">
      <alignment horizontal="center" vertical="center"/>
    </xf>
    <xf numFmtId="0" fontId="14" fillId="0" borderId="0" xfId="0" applyFont="1" applyAlignment="1">
      <alignment horizontal="center" vertical="center"/>
    </xf>
    <xf numFmtId="0" fontId="0" fillId="0" borderId="0" xfId="0" applyAlignment="1">
      <alignment horizontal="right" vertical="center"/>
    </xf>
    <xf numFmtId="1" fontId="0" fillId="0" borderId="0" xfId="0" applyNumberFormat="1" applyAlignment="1">
      <alignment vertical="center"/>
    </xf>
    <xf numFmtId="166" fontId="0" fillId="0" borderId="0" xfId="0" applyNumberFormat="1" applyAlignment="1">
      <alignment horizontal="center" vertical="center"/>
    </xf>
    <xf numFmtId="1" fontId="0" fillId="0" borderId="7" xfId="0" applyNumberFormat="1" applyBorder="1" applyAlignment="1">
      <alignment horizontal="center" vertical="center"/>
    </xf>
    <xf numFmtId="164" fontId="0" fillId="0" borderId="3" xfId="0" applyNumberFormat="1" applyBorder="1" applyAlignment="1">
      <alignment vertical="center"/>
    </xf>
    <xf numFmtId="164" fontId="0" fillId="0" borderId="5" xfId="0" applyNumberFormat="1" applyBorder="1" applyAlignment="1">
      <alignment vertical="center"/>
    </xf>
    <xf numFmtId="1" fontId="0" fillId="0" borderId="2" xfId="0" applyNumberFormat="1" applyBorder="1" applyAlignment="1">
      <alignment horizontal="center" vertical="center"/>
    </xf>
    <xf numFmtId="164" fontId="0" fillId="0" borderId="7" xfId="0" applyNumberFormat="1" applyBorder="1" applyAlignment="1">
      <alignment horizontal="center" vertical="center"/>
    </xf>
    <xf numFmtId="0" fontId="21" fillId="0" borderId="0" xfId="0" applyFont="1" applyAlignment="1">
      <alignment horizontal="center" vertical="center"/>
    </xf>
    <xf numFmtId="0" fontId="14" fillId="0" borderId="0" xfId="0" applyFont="1" applyAlignment="1">
      <alignment vertical="center"/>
    </xf>
    <xf numFmtId="1" fontId="14" fillId="0" borderId="0" xfId="0" applyNumberFormat="1" applyFont="1" applyAlignment="1">
      <alignment horizontal="center" vertical="center"/>
    </xf>
    <xf numFmtId="164" fontId="14" fillId="0" borderId="0" xfId="0" applyNumberFormat="1" applyFont="1" applyAlignment="1">
      <alignment horizontal="center" vertical="center"/>
    </xf>
    <xf numFmtId="0" fontId="21" fillId="0" borderId="7" xfId="0" applyFont="1" applyBorder="1" applyAlignment="1">
      <alignment horizontal="center" vertical="center"/>
    </xf>
    <xf numFmtId="0" fontId="14" fillId="0" borderId="7" xfId="0" applyFont="1" applyBorder="1" applyAlignment="1">
      <alignment vertical="center"/>
    </xf>
    <xf numFmtId="1" fontId="14" fillId="0" borderId="7" xfId="0" applyNumberFormat="1" applyFont="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164" fontId="22" fillId="0" borderId="0" xfId="0" applyNumberFormat="1" applyFont="1" applyAlignment="1">
      <alignment horizontal="center" vertical="center"/>
    </xf>
    <xf numFmtId="0" fontId="14" fillId="5" borderId="0" xfId="0" applyFont="1" applyFill="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2" fontId="0" fillId="0" borderId="0" xfId="0" applyNumberFormat="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14" fillId="5" borderId="0" xfId="0" applyFont="1" applyFill="1" applyAlignment="1">
      <alignment vertical="center"/>
    </xf>
    <xf numFmtId="0" fontId="27" fillId="5" borderId="0" xfId="0" applyFont="1" applyFill="1" applyAlignment="1">
      <alignment vertical="center"/>
    </xf>
    <xf numFmtId="0" fontId="0" fillId="4" borderId="0" xfId="0" applyFill="1"/>
    <xf numFmtId="164" fontId="0" fillId="0" borderId="0" xfId="0" applyNumberFormat="1" applyAlignment="1">
      <alignment horizontal="right"/>
    </xf>
    <xf numFmtId="0" fontId="0" fillId="0" borderId="29" xfId="0" applyBorder="1" applyAlignment="1">
      <alignment vertical="center"/>
    </xf>
    <xf numFmtId="0" fontId="0" fillId="0" borderId="30" xfId="0" applyBorder="1" applyAlignment="1">
      <alignment vertical="center"/>
    </xf>
    <xf numFmtId="0" fontId="14" fillId="5" borderId="0" xfId="0" applyFont="1" applyFill="1" applyAlignment="1">
      <alignment horizontal="left"/>
    </xf>
    <xf numFmtId="1" fontId="22" fillId="0" borderId="0" xfId="0" applyNumberFormat="1" applyFont="1"/>
    <xf numFmtId="0" fontId="14" fillId="5" borderId="0" xfId="0" applyFont="1" applyFill="1" applyAlignment="1">
      <alignment horizontal="right"/>
    </xf>
    <xf numFmtId="0" fontId="25" fillId="0" borderId="0" xfId="0" applyFont="1" applyAlignment="1">
      <alignment horizontal="center" vertical="center"/>
    </xf>
    <xf numFmtId="0" fontId="0" fillId="0" borderId="2" xfId="0" applyBorder="1" applyAlignment="1">
      <alignment horizontal="center"/>
    </xf>
    <xf numFmtId="164" fontId="0" fillId="0" borderId="5" xfId="0" applyNumberFormat="1" applyBorder="1"/>
    <xf numFmtId="164" fontId="7" fillId="0" borderId="0" xfId="0" applyNumberFormat="1" applyFont="1" applyAlignment="1">
      <alignment horizontal="center"/>
    </xf>
    <xf numFmtId="164" fontId="0" fillId="0" borderId="7" xfId="0" applyNumberFormat="1" applyBorder="1" applyAlignment="1">
      <alignment horizontal="center"/>
    </xf>
    <xf numFmtId="0" fontId="0" fillId="0" borderId="7" xfId="0" applyBorder="1" applyAlignment="1">
      <alignment horizontal="center"/>
    </xf>
    <xf numFmtId="1" fontId="0" fillId="0" borderId="2" xfId="0" applyNumberFormat="1" applyBorder="1" applyAlignment="1">
      <alignment horizontal="center"/>
    </xf>
    <xf numFmtId="164" fontId="0" fillId="0" borderId="2" xfId="0" applyNumberFormat="1" applyBorder="1" applyAlignment="1">
      <alignment horizontal="center"/>
    </xf>
    <xf numFmtId="1" fontId="0" fillId="0" borderId="7" xfId="0" applyNumberFormat="1" applyBorder="1" applyAlignment="1">
      <alignment horizontal="center"/>
    </xf>
    <xf numFmtId="1" fontId="22" fillId="0" borderId="2" xfId="0" applyNumberFormat="1" applyFont="1" applyBorder="1" applyAlignment="1">
      <alignment horizontal="center"/>
    </xf>
    <xf numFmtId="1" fontId="14" fillId="0" borderId="0" xfId="0" applyNumberFormat="1" applyFont="1" applyAlignment="1">
      <alignment horizontal="center"/>
    </xf>
    <xf numFmtId="1" fontId="14" fillId="0" borderId="7" xfId="0" applyNumberFormat="1" applyFont="1" applyBorder="1" applyAlignment="1">
      <alignment horizontal="center"/>
    </xf>
    <xf numFmtId="0" fontId="14" fillId="0" borderId="0" xfId="0" applyFont="1" applyAlignment="1">
      <alignment horizontal="center"/>
    </xf>
    <xf numFmtId="0" fontId="14" fillId="0" borderId="7" xfId="0" applyFont="1" applyBorder="1" applyAlignment="1">
      <alignment horizontal="center"/>
    </xf>
    <xf numFmtId="1" fontId="28" fillId="0" borderId="0" xfId="0" applyNumberFormat="1" applyFont="1" applyAlignment="1">
      <alignment horizontal="center"/>
    </xf>
    <xf numFmtId="0" fontId="19" fillId="7" borderId="41" xfId="0" applyFont="1" applyFill="1" applyBorder="1" applyAlignment="1">
      <alignment horizontal="center" vertical="center"/>
    </xf>
    <xf numFmtId="0" fontId="0" fillId="6" borderId="44" xfId="0" applyFill="1" applyBorder="1" applyAlignment="1">
      <alignment horizontal="center" vertical="center"/>
    </xf>
    <xf numFmtId="0" fontId="29" fillId="0" borderId="0" xfId="0" applyFont="1"/>
    <xf numFmtId="0" fontId="0" fillId="0" borderId="0" xfId="0" quotePrefix="1"/>
    <xf numFmtId="0" fontId="0" fillId="9" borderId="0" xfId="0" applyFill="1"/>
    <xf numFmtId="0" fontId="0" fillId="10" borderId="0" xfId="0" applyFill="1"/>
    <xf numFmtId="0" fontId="0" fillId="0" borderId="0" xfId="0" applyAlignment="1">
      <alignment horizontal="left"/>
    </xf>
    <xf numFmtId="0" fontId="0" fillId="0" borderId="0" xfId="0" applyAlignment="1">
      <alignment horizontal="left" vertical="center" wrapText="1"/>
    </xf>
    <xf numFmtId="0" fontId="0" fillId="0" borderId="0" xfId="0" applyAlignment="1">
      <alignment wrapText="1"/>
    </xf>
    <xf numFmtId="0" fontId="31" fillId="11" borderId="0" xfId="0" applyFont="1" applyFill="1"/>
    <xf numFmtId="0" fontId="31" fillId="11" borderId="0" xfId="0" applyFont="1" applyFill="1" applyAlignment="1">
      <alignment horizontal="center" vertical="center"/>
    </xf>
    <xf numFmtId="0" fontId="33" fillId="11" borderId="0" xfId="0" applyFont="1" applyFill="1" applyAlignment="1">
      <alignment horizontal="center"/>
    </xf>
    <xf numFmtId="0" fontId="32" fillId="5" borderId="0" xfId="0" applyFont="1" applyFill="1" applyAlignment="1">
      <alignment horizontal="left" vertical="center"/>
    </xf>
    <xf numFmtId="0" fontId="0" fillId="5" borderId="0" xfId="0" applyFill="1" applyAlignment="1">
      <alignment horizontal="left"/>
    </xf>
    <xf numFmtId="0" fontId="0" fillId="5" borderId="0" xfId="0" applyFill="1" applyAlignment="1">
      <alignment horizontal="left" vertical="center" wrapText="1"/>
    </xf>
    <xf numFmtId="0" fontId="0" fillId="5" borderId="0" xfId="0" applyFill="1" applyAlignment="1">
      <alignment horizontal="left" vertical="center"/>
    </xf>
    <xf numFmtId="0" fontId="0" fillId="5" borderId="0" xfId="0" applyFill="1" applyAlignment="1">
      <alignment horizontal="left" wrapText="1"/>
    </xf>
    <xf numFmtId="0" fontId="36" fillId="0" borderId="0" xfId="1"/>
    <xf numFmtId="0" fontId="22" fillId="0" borderId="0" xfId="0" applyFont="1"/>
    <xf numFmtId="0" fontId="30" fillId="11" borderId="0" xfId="0" applyFont="1" applyFill="1" applyAlignment="1">
      <alignment horizontal="center"/>
    </xf>
    <xf numFmtId="0" fontId="15" fillId="11" borderId="0" xfId="0" applyFont="1" applyFill="1" applyAlignment="1">
      <alignment horizontal="center"/>
    </xf>
    <xf numFmtId="0" fontId="0" fillId="12" borderId="0" xfId="0" applyFill="1"/>
    <xf numFmtId="0" fontId="19" fillId="0" borderId="7" xfId="0" applyFont="1" applyBorder="1" applyAlignment="1">
      <alignment horizontal="center" vertical="center"/>
    </xf>
    <xf numFmtId="0" fontId="14" fillId="5" borderId="4" xfId="0" applyFont="1" applyFill="1" applyBorder="1" applyAlignment="1">
      <alignment vertical="center"/>
    </xf>
    <xf numFmtId="0" fontId="14" fillId="5" borderId="6" xfId="0" applyFont="1" applyFill="1" applyBorder="1" applyAlignment="1">
      <alignment vertical="center"/>
    </xf>
    <xf numFmtId="0" fontId="19" fillId="0" borderId="0" xfId="0" applyFont="1" applyAlignment="1">
      <alignment vertical="center"/>
    </xf>
    <xf numFmtId="0" fontId="19" fillId="0" borderId="0" xfId="0" applyFont="1" applyAlignment="1">
      <alignment horizontal="center" vertical="center"/>
    </xf>
    <xf numFmtId="0" fontId="19" fillId="7" borderId="46" xfId="0" applyFont="1" applyFill="1" applyBorder="1" applyAlignment="1">
      <alignment horizontal="center" vertical="center"/>
    </xf>
    <xf numFmtId="0" fontId="14" fillId="7" borderId="39" xfId="0" applyFont="1" applyFill="1" applyBorder="1" applyAlignment="1" applyProtection="1">
      <alignment horizontal="center" vertical="center"/>
      <protection locked="0"/>
    </xf>
    <xf numFmtId="0" fontId="0" fillId="7" borderId="40" xfId="0" applyFill="1" applyBorder="1" applyAlignment="1" applyProtection="1">
      <alignment horizontal="center" vertical="center"/>
      <protection locked="0"/>
    </xf>
    <xf numFmtId="0" fontId="0" fillId="7" borderId="47" xfId="0" applyFill="1" applyBorder="1" applyAlignment="1" applyProtection="1">
      <alignment horizontal="center" vertical="center"/>
      <protection locked="0"/>
    </xf>
    <xf numFmtId="0" fontId="0" fillId="7" borderId="42" xfId="0" applyFill="1" applyBorder="1" applyAlignment="1" applyProtection="1">
      <alignment horizontal="center" vertical="center"/>
      <protection locked="0"/>
    </xf>
    <xf numFmtId="0" fontId="0" fillId="7" borderId="41" xfId="0" applyFill="1" applyBorder="1" applyAlignment="1" applyProtection="1">
      <alignment horizontal="center" vertical="center"/>
      <protection locked="0"/>
    </xf>
    <xf numFmtId="0" fontId="0" fillId="0" borderId="0" xfId="0" applyAlignment="1" applyProtection="1">
      <alignment horizontal="center"/>
      <protection locked="0"/>
    </xf>
    <xf numFmtId="0" fontId="0" fillId="7" borderId="40" xfId="0" applyFill="1" applyBorder="1" applyProtection="1">
      <protection locked="0"/>
    </xf>
    <xf numFmtId="0" fontId="0" fillId="7" borderId="40" xfId="0" applyFill="1" applyBorder="1" applyAlignment="1" applyProtection="1">
      <alignment horizontal="left"/>
      <protection locked="0"/>
    </xf>
    <xf numFmtId="0" fontId="0" fillId="8" borderId="40" xfId="0" applyFill="1" applyBorder="1" applyAlignment="1" applyProtection="1">
      <alignment horizontal="center"/>
      <protection locked="0"/>
    </xf>
    <xf numFmtId="0" fontId="37" fillId="0" borderId="0" xfId="0" applyFont="1"/>
    <xf numFmtId="0" fontId="25" fillId="0" borderId="0" xfId="0" applyFont="1" applyAlignment="1" applyProtection="1">
      <alignment horizontal="center" vertical="center"/>
      <protection locked="0"/>
    </xf>
    <xf numFmtId="167" fontId="0" fillId="0" borderId="0" xfId="0" applyNumberFormat="1" applyAlignment="1">
      <alignment horizontal="center" vertical="center"/>
    </xf>
    <xf numFmtId="0" fontId="0" fillId="0" borderId="0" xfId="0" applyAlignment="1">
      <alignment horizontal="center" wrapText="1"/>
    </xf>
    <xf numFmtId="164" fontId="31" fillId="0" borderId="0" xfId="0" applyNumberFormat="1" applyFont="1" applyAlignment="1">
      <alignment horizontal="center" vertical="center"/>
    </xf>
    <xf numFmtId="1" fontId="31" fillId="0" borderId="0" xfId="0" applyNumberFormat="1" applyFont="1" applyAlignment="1">
      <alignment horizontal="center" vertical="center"/>
    </xf>
    <xf numFmtId="164" fontId="38" fillId="0" borderId="30" xfId="0" applyNumberFormat="1" applyFont="1" applyBorder="1"/>
    <xf numFmtId="0" fontId="38" fillId="0" borderId="30" xfId="0" applyFont="1" applyBorder="1"/>
    <xf numFmtId="0" fontId="0" fillId="0" borderId="0" xfId="0" applyAlignment="1">
      <alignment horizontal="left" wrapText="1"/>
    </xf>
    <xf numFmtId="0" fontId="30" fillId="11" borderId="0" xfId="0" applyFont="1" applyFill="1" applyAlignment="1">
      <alignment horizontal="center" wrapText="1"/>
    </xf>
    <xf numFmtId="0" fontId="0" fillId="3" borderId="0" xfId="0" applyFill="1" applyAlignment="1">
      <alignment wrapText="1"/>
    </xf>
    <xf numFmtId="0" fontId="22" fillId="0" borderId="0" xfId="0" applyFont="1" applyAlignment="1">
      <alignment wrapText="1"/>
    </xf>
    <xf numFmtId="0" fontId="0" fillId="0" borderId="0" xfId="0" quotePrefix="1" applyAlignment="1">
      <alignment wrapText="1"/>
    </xf>
    <xf numFmtId="0" fontId="0" fillId="4" borderId="0" xfId="0" applyFill="1" applyAlignment="1">
      <alignment wrapText="1"/>
    </xf>
    <xf numFmtId="0" fontId="0" fillId="9" borderId="0" xfId="0" applyFill="1" applyAlignment="1">
      <alignment wrapText="1"/>
    </xf>
    <xf numFmtId="0" fontId="0" fillId="10" borderId="0" xfId="0" applyFill="1" applyAlignment="1">
      <alignment wrapText="1"/>
    </xf>
    <xf numFmtId="0" fontId="0" fillId="12" borderId="0" xfId="0" applyFill="1" applyAlignment="1">
      <alignment wrapText="1"/>
    </xf>
    <xf numFmtId="0" fontId="22" fillId="0" borderId="10" xfId="0" applyFont="1" applyBorder="1"/>
    <xf numFmtId="0" fontId="22" fillId="0" borderId="10" xfId="0" applyFont="1" applyBorder="1" applyAlignment="1">
      <alignment wrapText="1"/>
    </xf>
    <xf numFmtId="0" fontId="22" fillId="0" borderId="11" xfId="0" applyFont="1" applyBorder="1" applyAlignment="1">
      <alignment wrapText="1"/>
    </xf>
    <xf numFmtId="0" fontId="22" fillId="0" borderId="13" xfId="0" applyFont="1" applyBorder="1" applyAlignment="1">
      <alignment wrapText="1"/>
    </xf>
    <xf numFmtId="0" fontId="22" fillId="0" borderId="15" xfId="0" applyFont="1" applyBorder="1"/>
    <xf numFmtId="0" fontId="22" fillId="0" borderId="16" xfId="0" applyFont="1" applyBorder="1"/>
    <xf numFmtId="0" fontId="22" fillId="0" borderId="9" xfId="0" applyFont="1" applyBorder="1"/>
    <xf numFmtId="0" fontId="22" fillId="0" borderId="12" xfId="0" applyFont="1" applyBorder="1"/>
    <xf numFmtId="0" fontId="22" fillId="0" borderId="14" xfId="0" applyFont="1" applyBorder="1"/>
    <xf numFmtId="0" fontId="0" fillId="0" borderId="0" xfId="0" applyAlignment="1">
      <alignment horizontal="left" wrapText="1"/>
    </xf>
    <xf numFmtId="0" fontId="0" fillId="5" borderId="0" xfId="0" applyFill="1" applyAlignment="1">
      <alignment horizontal="left" vertical="center" wrapText="1"/>
    </xf>
    <xf numFmtId="0" fontId="34" fillId="11" borderId="0" xfId="0" applyFont="1" applyFill="1" applyAlignment="1">
      <alignment horizontal="center" wrapText="1"/>
    </xf>
    <xf numFmtId="0" fontId="31" fillId="11" borderId="0" xfId="0" applyFont="1" applyFill="1" applyAlignment="1">
      <alignment horizontal="center" wrapText="1"/>
    </xf>
    <xf numFmtId="0" fontId="28" fillId="0" borderId="0" xfId="0" applyFont="1" applyAlignment="1" applyProtection="1">
      <alignment horizontal="center" vertical="center"/>
      <protection locked="0"/>
    </xf>
    <xf numFmtId="0" fontId="35" fillId="11" borderId="0" xfId="0" applyFont="1" applyFill="1" applyAlignment="1">
      <alignment horizontal="center" vertical="center"/>
    </xf>
    <xf numFmtId="0" fontId="36" fillId="5" borderId="0" xfId="1" applyFill="1" applyAlignment="1">
      <alignment horizontal="left" vertical="center" wrapText="1"/>
    </xf>
    <xf numFmtId="0" fontId="0" fillId="5" borderId="0" xfId="0" applyFill="1" applyAlignment="1">
      <alignment horizontal="left" wrapText="1"/>
    </xf>
    <xf numFmtId="0" fontId="14" fillId="5" borderId="1" xfId="0" applyFont="1" applyFill="1" applyBorder="1" applyAlignment="1">
      <alignment horizontal="center" vertical="center"/>
    </xf>
    <xf numFmtId="0" fontId="14" fillId="5" borderId="4" xfId="0" applyFont="1" applyFill="1" applyBorder="1" applyAlignment="1">
      <alignment horizontal="center" vertical="center"/>
    </xf>
    <xf numFmtId="0" fontId="14" fillId="5" borderId="6" xfId="0" applyFont="1" applyFill="1" applyBorder="1" applyAlignment="1">
      <alignment horizontal="center" vertical="center"/>
    </xf>
    <xf numFmtId="0" fontId="0" fillId="7" borderId="36" xfId="0" applyFill="1" applyBorder="1" applyAlignment="1" applyProtection="1">
      <alignment horizontal="center" vertical="center"/>
      <protection locked="0"/>
    </xf>
    <xf numFmtId="0" fontId="0" fillId="7" borderId="37" xfId="0" applyFill="1" applyBorder="1" applyAlignment="1" applyProtection="1">
      <alignment horizontal="center" vertical="center"/>
      <protection locked="0"/>
    </xf>
    <xf numFmtId="0" fontId="0" fillId="7" borderId="38" xfId="0" applyFill="1" applyBorder="1" applyAlignment="1" applyProtection="1">
      <alignment horizontal="center" vertical="center"/>
      <protection locked="0"/>
    </xf>
    <xf numFmtId="0" fontId="0" fillId="7" borderId="33" xfId="0" applyFill="1" applyBorder="1" applyAlignment="1" applyProtection="1">
      <alignment horizontal="center" vertical="center"/>
      <protection locked="0"/>
    </xf>
    <xf numFmtId="0" fontId="0" fillId="7" borderId="34" xfId="0" applyFill="1" applyBorder="1" applyAlignment="1" applyProtection="1">
      <alignment horizontal="center" vertical="center"/>
      <protection locked="0"/>
    </xf>
    <xf numFmtId="0" fontId="0" fillId="7" borderId="35" xfId="0" applyFill="1" applyBorder="1" applyAlignment="1" applyProtection="1">
      <alignment horizontal="center" vertical="center"/>
      <protection locked="0"/>
    </xf>
    <xf numFmtId="0" fontId="25" fillId="5" borderId="0" xfId="0" applyFont="1" applyFill="1" applyAlignment="1">
      <alignment horizontal="center" vertical="center"/>
    </xf>
    <xf numFmtId="0" fontId="24" fillId="0" borderId="0" xfId="0" applyFont="1" applyAlignment="1">
      <alignment horizontal="center"/>
    </xf>
    <xf numFmtId="0" fontId="14" fillId="5" borderId="1" xfId="0" applyFont="1" applyFill="1" applyBorder="1" applyAlignment="1">
      <alignment horizontal="center" vertical="top" wrapText="1"/>
    </xf>
    <xf numFmtId="0" fontId="14" fillId="5" borderId="4" xfId="0" applyFont="1" applyFill="1" applyBorder="1" applyAlignment="1">
      <alignment horizontal="center" vertical="top"/>
    </xf>
    <xf numFmtId="0" fontId="14" fillId="5" borderId="6" xfId="0" applyFont="1" applyFill="1" applyBorder="1" applyAlignment="1">
      <alignment horizontal="center" vertical="top"/>
    </xf>
    <xf numFmtId="0" fontId="0" fillId="0" borderId="7" xfId="0" applyBorder="1" applyAlignment="1">
      <alignment horizontal="center" vertical="center"/>
    </xf>
    <xf numFmtId="0" fontId="0" fillId="0" borderId="8" xfId="0" applyBorder="1" applyAlignment="1">
      <alignment horizontal="center" vertical="center"/>
    </xf>
    <xf numFmtId="0" fontId="0" fillId="7" borderId="33" xfId="0" applyFill="1" applyBorder="1" applyAlignment="1" applyProtection="1">
      <alignment horizontal="left" vertical="center"/>
      <protection locked="0"/>
    </xf>
    <xf numFmtId="0" fontId="0" fillId="7" borderId="34" xfId="0" applyFill="1" applyBorder="1" applyAlignment="1" applyProtection="1">
      <alignment horizontal="left" vertical="center"/>
      <protection locked="0"/>
    </xf>
    <xf numFmtId="0" fontId="0" fillId="7" borderId="43" xfId="0" applyFill="1" applyBorder="1" applyAlignment="1" applyProtection="1">
      <alignment horizontal="left" vertical="center"/>
      <protection locked="0"/>
    </xf>
    <xf numFmtId="0" fontId="26" fillId="0" borderId="5" xfId="0" applyFont="1" applyBorder="1" applyAlignment="1">
      <alignment horizontal="left" vertical="top" wrapText="1"/>
    </xf>
    <xf numFmtId="0" fontId="26" fillId="0" borderId="5" xfId="0" applyFont="1" applyBorder="1" applyAlignment="1">
      <alignment horizontal="left" vertical="center" wrapText="1"/>
    </xf>
    <xf numFmtId="0" fontId="26" fillId="0" borderId="3" xfId="0" applyFont="1" applyBorder="1" applyAlignment="1">
      <alignment horizontal="left" wrapText="1"/>
    </xf>
    <xf numFmtId="0" fontId="26" fillId="0" borderId="5" xfId="0" applyFont="1" applyBorder="1" applyAlignment="1">
      <alignment horizontal="left" wrapText="1"/>
    </xf>
    <xf numFmtId="0" fontId="26" fillId="0" borderId="8" xfId="0" applyFont="1" applyBorder="1" applyAlignment="1">
      <alignment horizontal="left" wrapText="1"/>
    </xf>
    <xf numFmtId="0" fontId="14" fillId="5" borderId="1"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6" fillId="0" borderId="0" xfId="0" applyFont="1" applyAlignment="1">
      <alignment horizontal="center"/>
    </xf>
    <xf numFmtId="0" fontId="19" fillId="0" borderId="1" xfId="0" applyFont="1" applyBorder="1" applyAlignment="1">
      <alignment horizontal="center" vertical="center"/>
    </xf>
    <xf numFmtId="0" fontId="19" fillId="0" borderId="4" xfId="0" applyFont="1" applyBorder="1" applyAlignment="1">
      <alignment horizontal="center" vertical="center"/>
    </xf>
    <xf numFmtId="0" fontId="19" fillId="0" borderId="6" xfId="0" applyFont="1" applyBorder="1" applyAlignment="1">
      <alignment horizontal="center" vertical="center"/>
    </xf>
    <xf numFmtId="0" fontId="19" fillId="0" borderId="0" xfId="0" applyFont="1" applyAlignment="1">
      <alignment horizontal="center"/>
    </xf>
    <xf numFmtId="0" fontId="19" fillId="0" borderId="5" xfId="0" applyFont="1" applyBorder="1" applyAlignment="1">
      <alignment horizontal="center"/>
    </xf>
    <xf numFmtId="0" fontId="26" fillId="0" borderId="3" xfId="0" applyFont="1" applyBorder="1" applyAlignment="1">
      <alignment horizontal="left" vertical="center" wrapText="1"/>
    </xf>
    <xf numFmtId="0" fontId="14" fillId="5" borderId="0" xfId="0" applyFont="1" applyFill="1" applyAlignment="1">
      <alignment horizontal="center" vertical="center"/>
    </xf>
    <xf numFmtId="0" fontId="0" fillId="7" borderId="45" xfId="0" applyFill="1" applyBorder="1" applyAlignment="1" applyProtection="1">
      <alignment horizontal="center"/>
      <protection locked="0"/>
    </xf>
    <xf numFmtId="0" fontId="0" fillId="7" borderId="46" xfId="0" applyFill="1" applyBorder="1" applyAlignment="1" applyProtection="1">
      <alignment horizontal="center"/>
      <protection locked="0"/>
    </xf>
    <xf numFmtId="0" fontId="14" fillId="0" borderId="0" xfId="0" applyFont="1" applyAlignment="1">
      <alignment horizontal="left"/>
    </xf>
    <xf numFmtId="0" fontId="14" fillId="5" borderId="0" xfId="0" applyFont="1" applyFill="1" applyAlignment="1">
      <alignment horizontal="left" vertical="center"/>
    </xf>
    <xf numFmtId="0" fontId="0" fillId="8" borderId="45" xfId="0" applyFill="1" applyBorder="1" applyAlignment="1" applyProtection="1">
      <alignment horizontal="center"/>
      <protection locked="0"/>
    </xf>
    <xf numFmtId="0" fontId="0" fillId="8" borderId="46" xfId="0" applyFill="1" applyBorder="1" applyAlignment="1" applyProtection="1">
      <alignment horizontal="center"/>
      <protection locked="0"/>
    </xf>
    <xf numFmtId="0" fontId="0" fillId="5" borderId="0" xfId="0" applyFill="1" applyAlignment="1">
      <alignment horizontal="center" vertical="center"/>
    </xf>
    <xf numFmtId="0" fontId="15" fillId="5" borderId="26" xfId="0" applyFont="1" applyFill="1" applyBorder="1" applyAlignment="1">
      <alignment horizontal="center" vertical="center"/>
    </xf>
    <xf numFmtId="0" fontId="15" fillId="5" borderId="27" xfId="0" applyFont="1" applyFill="1" applyBorder="1" applyAlignment="1">
      <alignment horizontal="center" vertical="center"/>
    </xf>
    <xf numFmtId="0" fontId="15" fillId="5" borderId="28" xfId="0" applyFont="1" applyFill="1" applyBorder="1" applyAlignment="1">
      <alignment horizontal="center" vertical="center"/>
    </xf>
    <xf numFmtId="0" fontId="15" fillId="5" borderId="29" xfId="0" applyFont="1" applyFill="1" applyBorder="1" applyAlignment="1">
      <alignment horizontal="center" vertical="center"/>
    </xf>
    <xf numFmtId="0" fontId="15" fillId="5" borderId="0" xfId="0" applyFont="1" applyFill="1" applyAlignment="1">
      <alignment horizontal="center" vertical="center"/>
    </xf>
    <xf numFmtId="0" fontId="15" fillId="5" borderId="30" xfId="0" applyFont="1" applyFill="1" applyBorder="1" applyAlignment="1">
      <alignment horizontal="center" vertical="center"/>
    </xf>
    <xf numFmtId="0" fontId="11" fillId="5" borderId="26" xfId="0" applyFont="1" applyFill="1" applyBorder="1" applyAlignment="1">
      <alignment horizontal="center" vertical="center"/>
    </xf>
    <xf numFmtId="0" fontId="11" fillId="5" borderId="27" xfId="0" applyFont="1" applyFill="1" applyBorder="1" applyAlignment="1">
      <alignment horizontal="center" vertical="center"/>
    </xf>
    <xf numFmtId="0" fontId="11" fillId="5" borderId="28" xfId="0" applyFont="1" applyFill="1" applyBorder="1" applyAlignment="1">
      <alignment horizontal="center" vertical="center"/>
    </xf>
    <xf numFmtId="0" fontId="11" fillId="5" borderId="29" xfId="0" applyFont="1" applyFill="1" applyBorder="1" applyAlignment="1">
      <alignment horizontal="center" vertical="center"/>
    </xf>
    <xf numFmtId="0" fontId="11" fillId="5" borderId="0" xfId="0" applyFont="1" applyFill="1" applyAlignment="1">
      <alignment horizontal="center" vertical="center"/>
    </xf>
    <xf numFmtId="0" fontId="11" fillId="5" borderId="30" xfId="0" applyFont="1" applyFill="1" applyBorder="1" applyAlignment="1">
      <alignment horizontal="center" vertical="center"/>
    </xf>
    <xf numFmtId="0" fontId="12" fillId="5" borderId="26" xfId="0" applyFont="1" applyFill="1" applyBorder="1" applyAlignment="1">
      <alignment horizontal="center" vertical="center"/>
    </xf>
    <xf numFmtId="0" fontId="12" fillId="5" borderId="27" xfId="0" applyFont="1" applyFill="1" applyBorder="1" applyAlignment="1">
      <alignment horizontal="center" vertical="center"/>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0" xfId="0" applyFont="1" applyFill="1" applyAlignment="1">
      <alignment horizontal="center" vertical="center"/>
    </xf>
    <xf numFmtId="0" fontId="12" fillId="5" borderId="30" xfId="0" applyFont="1" applyFill="1" applyBorder="1" applyAlignment="1">
      <alignment horizontal="center" vertical="center"/>
    </xf>
    <xf numFmtId="0" fontId="10" fillId="5" borderId="26" xfId="0" applyFont="1" applyFill="1" applyBorder="1" applyAlignment="1">
      <alignment horizontal="center" vertical="center"/>
    </xf>
    <xf numFmtId="0" fontId="10" fillId="5" borderId="27" xfId="0" applyFont="1" applyFill="1" applyBorder="1" applyAlignment="1">
      <alignment horizontal="center" vertical="center"/>
    </xf>
    <xf numFmtId="0" fontId="10" fillId="5" borderId="28" xfId="0" applyFont="1" applyFill="1" applyBorder="1" applyAlignment="1">
      <alignment horizontal="center" vertical="center"/>
    </xf>
    <xf numFmtId="0" fontId="10" fillId="5" borderId="29" xfId="0" applyFont="1" applyFill="1" applyBorder="1" applyAlignment="1">
      <alignment horizontal="center" vertical="center"/>
    </xf>
    <xf numFmtId="0" fontId="10" fillId="5" borderId="0" xfId="0" applyFont="1" applyFill="1" applyAlignment="1">
      <alignment horizontal="center" vertical="center"/>
    </xf>
    <xf numFmtId="0" fontId="10" fillId="5" borderId="30" xfId="0" applyFont="1" applyFill="1" applyBorder="1" applyAlignment="1">
      <alignment horizontal="center" vertical="center"/>
    </xf>
  </cellXfs>
  <cellStyles count="2">
    <cellStyle name="Collegamento ipertestuale" xfId="1" builtinId="8"/>
    <cellStyle name="Normale" xfId="0" builtinId="0"/>
  </cellStyles>
  <dxfs count="46">
    <dxf>
      <font>
        <b/>
        <i val="0"/>
        <color rgb="FF00B050"/>
      </font>
    </dxf>
    <dxf>
      <font>
        <b/>
        <i val="0"/>
        <color rgb="FFFF0000"/>
      </font>
    </dxf>
    <dxf>
      <font>
        <b/>
        <i val="0"/>
        <color rgb="FF00B0F0"/>
      </font>
    </dxf>
    <dxf>
      <font>
        <b/>
        <i val="0"/>
        <color rgb="FF00B050"/>
      </font>
    </dxf>
    <dxf>
      <font>
        <b/>
        <i val="0"/>
        <color rgb="FFFFC00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color theme="0"/>
      </font>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val="0"/>
        <color rgb="FF00B050"/>
      </font>
    </dxf>
    <dxf>
      <font>
        <b/>
        <i val="0"/>
        <color rgb="FFFFC00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color rgb="FFFF0000"/>
      </font>
      <fill>
        <patternFill patternType="gray0625">
          <fgColor rgb="FFFF0000"/>
          <bgColor rgb="FFFFFF00"/>
        </patternFill>
      </fill>
    </dxf>
    <dxf>
      <font>
        <b/>
        <i/>
        <color rgb="FF00B050"/>
      </font>
      <fill>
        <patternFill patternType="none">
          <bgColor auto="1"/>
        </patternFill>
      </fill>
    </dxf>
    <dxf>
      <font>
        <b/>
        <i/>
        <color rgb="FFFF0000"/>
      </font>
    </dxf>
    <dxf>
      <font>
        <b/>
        <i/>
        <color rgb="FF00B050"/>
      </font>
    </dxf>
    <dxf>
      <font>
        <b/>
        <i/>
        <color rgb="FFFFC000"/>
      </font>
    </dxf>
    <dxf>
      <font>
        <b/>
        <i/>
        <color rgb="FF00B050"/>
      </font>
    </dxf>
    <dxf>
      <font>
        <b/>
        <i/>
        <color rgb="FFFF0000"/>
      </font>
      <fill>
        <patternFill patternType="gray0625">
          <fgColor rgb="FFFF0000"/>
          <bgColor rgb="FFFFFF00"/>
        </patternFill>
      </fill>
    </dxf>
    <dxf>
      <font>
        <b/>
        <i/>
        <color rgb="FF00B050"/>
      </font>
    </dxf>
    <dxf>
      <font>
        <b/>
        <i/>
        <color rgb="FF00B050"/>
      </font>
    </dxf>
    <dxf>
      <font>
        <b/>
        <i/>
        <color rgb="FFFF0000"/>
      </font>
      <fill>
        <patternFill patternType="gray0625">
          <fgColor rgb="FFFF0000"/>
          <bgColor rgb="FFFFFF00"/>
        </patternFill>
      </fill>
    </dxf>
    <dxf>
      <font>
        <b/>
        <i/>
        <color rgb="FF00B050"/>
      </font>
    </dxf>
    <dxf>
      <font>
        <color theme="0"/>
      </font>
      <fill>
        <patternFill patternType="none">
          <bgColor auto="1"/>
        </patternFill>
      </fill>
      <border>
        <right/>
        <top/>
        <bottom/>
      </border>
    </dxf>
    <dxf>
      <font>
        <b/>
        <i/>
        <color rgb="FFFF0000"/>
      </font>
      <fill>
        <patternFill patternType="gray125">
          <fgColor rgb="FFFF0000"/>
          <bgColor rgb="FFFFFF00"/>
        </patternFill>
      </fill>
    </dxf>
    <dxf>
      <font>
        <b/>
        <i/>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it-IT" sz="1200" b="0"/>
              <a:t>CLT</a:t>
            </a:r>
            <a:r>
              <a:rPr lang="it-IT" sz="1200" b="0" baseline="0"/>
              <a:t> external layers direction</a:t>
            </a:r>
            <a:endParaRPr lang="it-IT" sz="1200" b="0"/>
          </a:p>
        </c:rich>
      </c:tx>
      <c:overlay val="0"/>
    </c:title>
    <c:autoTitleDeleted val="0"/>
    <c:plotArea>
      <c:layout>
        <c:manualLayout>
          <c:layoutTarget val="inner"/>
          <c:xMode val="edge"/>
          <c:yMode val="edge"/>
          <c:x val="4.3153886067271892E-2"/>
          <c:y val="6.1459695993669787E-2"/>
          <c:w val="0.94725639827648855"/>
          <c:h val="0.90984086622469118"/>
        </c:manualLayout>
      </c:layout>
      <c:scatterChart>
        <c:scatterStyle val="lineMarker"/>
        <c:varyColors val="0"/>
        <c:ser>
          <c:idx val="24"/>
          <c:order val="0"/>
          <c:spPr>
            <a:ln w="25400">
              <a:solidFill>
                <a:schemeClr val="tx1"/>
              </a:solidFill>
            </a:ln>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00-8B25-42DD-A387-4444E8160485}"/>
            </c:ext>
          </c:extLst>
        </c:ser>
        <c:ser>
          <c:idx val="25"/>
          <c:order val="1"/>
          <c:spPr>
            <a:ln w="25400">
              <a:solidFill>
                <a:schemeClr val="tx1"/>
              </a:solidFill>
            </a:ln>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01-8B25-42DD-A387-4444E8160485}"/>
            </c:ext>
          </c:extLst>
        </c:ser>
        <c:ser>
          <c:idx val="26"/>
          <c:order val="2"/>
          <c:spPr>
            <a:ln w="25400">
              <a:solidFill>
                <a:schemeClr val="tx1"/>
              </a:solidFill>
            </a:ln>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02-8B25-42DD-A387-4444E8160485}"/>
            </c:ext>
          </c:extLst>
        </c:ser>
        <c:ser>
          <c:idx val="27"/>
          <c:order val="3"/>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03-8B25-42DD-A387-4444E8160485}"/>
            </c:ext>
          </c:extLst>
        </c:ser>
        <c:ser>
          <c:idx val="28"/>
          <c:order val="4"/>
          <c:tx>
            <c:v>L</c:v>
          </c:tx>
          <c:spPr>
            <a:ln>
              <a:solidFill>
                <a:srgbClr val="FF0000"/>
              </a:solidFill>
            </a:ln>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4-8B25-42DD-A387-4444E8160485}"/>
            </c:ext>
          </c:extLst>
        </c:ser>
        <c:ser>
          <c:idx val="29"/>
          <c:order val="5"/>
          <c:tx>
            <c:v>L</c:v>
          </c:tx>
          <c:spPr>
            <a:ln>
              <a:solidFill>
                <a:srgbClr val="FF0000"/>
              </a:solidFill>
            </a:ln>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5-8B25-42DD-A387-4444E8160485}"/>
            </c:ext>
          </c:extLst>
        </c:ser>
        <c:ser>
          <c:idx val="30"/>
          <c:order val="6"/>
          <c:spPr>
            <a:ln>
              <a:solidFill>
                <a:srgbClr val="00B0F0"/>
              </a:solidFill>
            </a:ln>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6-8B25-42DD-A387-4444E8160485}"/>
            </c:ext>
          </c:extLst>
        </c:ser>
        <c:ser>
          <c:idx val="31"/>
          <c:order val="7"/>
          <c:spPr>
            <a:ln>
              <a:solidFill>
                <a:srgbClr val="00B0F0"/>
              </a:solidFill>
            </a:ln>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7-8B25-42DD-A387-4444E8160485}"/>
            </c:ext>
          </c:extLst>
        </c:ser>
        <c:ser>
          <c:idx val="32"/>
          <c:order val="8"/>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08-8B25-42DD-A387-4444E8160485}"/>
            </c:ext>
          </c:extLst>
        </c:ser>
        <c:ser>
          <c:idx val="33"/>
          <c:order val="9"/>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09-8B25-42DD-A387-4444E8160485}"/>
            </c:ext>
          </c:extLst>
        </c:ser>
        <c:ser>
          <c:idx val="34"/>
          <c:order val="10"/>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0A-8B25-42DD-A387-4444E8160485}"/>
            </c:ext>
          </c:extLst>
        </c:ser>
        <c:ser>
          <c:idx val="35"/>
          <c:order val="11"/>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0B-8B25-42DD-A387-4444E8160485}"/>
            </c:ext>
          </c:extLst>
        </c:ser>
        <c:ser>
          <c:idx val="36"/>
          <c:order val="12"/>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C-8B25-42DD-A387-4444E8160485}"/>
            </c:ext>
          </c:extLst>
        </c:ser>
        <c:ser>
          <c:idx val="37"/>
          <c:order val="13"/>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D-8B25-42DD-A387-4444E8160485}"/>
            </c:ext>
          </c:extLst>
        </c:ser>
        <c:ser>
          <c:idx val="38"/>
          <c:order val="14"/>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E-8B25-42DD-A387-4444E8160485}"/>
            </c:ext>
          </c:extLst>
        </c:ser>
        <c:ser>
          <c:idx val="39"/>
          <c:order val="15"/>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F-8B25-42DD-A387-4444E8160485}"/>
            </c:ext>
          </c:extLst>
        </c:ser>
        <c:ser>
          <c:idx val="40"/>
          <c:order val="16"/>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10-8B25-42DD-A387-4444E8160485}"/>
            </c:ext>
          </c:extLst>
        </c:ser>
        <c:ser>
          <c:idx val="41"/>
          <c:order val="17"/>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11-8B25-42DD-A387-4444E8160485}"/>
            </c:ext>
          </c:extLst>
        </c:ser>
        <c:ser>
          <c:idx val="42"/>
          <c:order val="18"/>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12-8B25-42DD-A387-4444E8160485}"/>
            </c:ext>
          </c:extLst>
        </c:ser>
        <c:ser>
          <c:idx val="43"/>
          <c:order val="19"/>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13-8B25-42DD-A387-4444E8160485}"/>
            </c:ext>
          </c:extLst>
        </c:ser>
        <c:ser>
          <c:idx val="44"/>
          <c:order val="20"/>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14-8B25-42DD-A387-4444E8160485}"/>
            </c:ext>
          </c:extLst>
        </c:ser>
        <c:ser>
          <c:idx val="45"/>
          <c:order val="21"/>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15-8B25-42DD-A387-4444E8160485}"/>
            </c:ext>
          </c:extLst>
        </c:ser>
        <c:ser>
          <c:idx val="46"/>
          <c:order val="22"/>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16-8B25-42DD-A387-4444E8160485}"/>
            </c:ext>
          </c:extLst>
        </c:ser>
        <c:ser>
          <c:idx val="47"/>
          <c:order val="23"/>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17-8B25-42DD-A387-4444E8160485}"/>
            </c:ext>
          </c:extLst>
        </c:ser>
        <c:ser>
          <c:idx val="8"/>
          <c:order val="24"/>
          <c:spPr>
            <a:ln w="25400">
              <a:solidFill>
                <a:schemeClr val="tx1"/>
              </a:solidFill>
            </a:ln>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18-8B25-42DD-A387-4444E8160485}"/>
            </c:ext>
          </c:extLst>
        </c:ser>
        <c:ser>
          <c:idx val="9"/>
          <c:order val="25"/>
          <c:spPr>
            <a:ln w="25400">
              <a:solidFill>
                <a:schemeClr val="tx1"/>
              </a:solidFill>
            </a:ln>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19-8B25-42DD-A387-4444E8160485}"/>
            </c:ext>
          </c:extLst>
        </c:ser>
        <c:ser>
          <c:idx val="10"/>
          <c:order val="26"/>
          <c:spPr>
            <a:ln w="25400">
              <a:solidFill>
                <a:schemeClr val="tx1"/>
              </a:solidFill>
            </a:ln>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1A-8B25-42DD-A387-4444E8160485}"/>
            </c:ext>
          </c:extLst>
        </c:ser>
        <c:ser>
          <c:idx val="11"/>
          <c:order val="27"/>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1B-8B25-42DD-A387-4444E8160485}"/>
            </c:ext>
          </c:extLst>
        </c:ser>
        <c:ser>
          <c:idx val="12"/>
          <c:order val="28"/>
          <c:tx>
            <c:v>L</c:v>
          </c:tx>
          <c:spPr>
            <a:ln>
              <a:solidFill>
                <a:srgbClr val="FF0000"/>
              </a:solidFill>
            </a:ln>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1C-8B25-42DD-A387-4444E8160485}"/>
            </c:ext>
          </c:extLst>
        </c:ser>
        <c:ser>
          <c:idx val="13"/>
          <c:order val="29"/>
          <c:tx>
            <c:v>L</c:v>
          </c:tx>
          <c:spPr>
            <a:ln>
              <a:solidFill>
                <a:srgbClr val="FF0000"/>
              </a:solidFill>
            </a:ln>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1D-8B25-42DD-A387-4444E8160485}"/>
            </c:ext>
          </c:extLst>
        </c:ser>
        <c:ser>
          <c:idx val="14"/>
          <c:order val="30"/>
          <c:spPr>
            <a:ln>
              <a:solidFill>
                <a:srgbClr val="00B0F0"/>
              </a:solidFill>
            </a:ln>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1E-8B25-42DD-A387-4444E8160485}"/>
            </c:ext>
          </c:extLst>
        </c:ser>
        <c:ser>
          <c:idx val="15"/>
          <c:order val="31"/>
          <c:spPr>
            <a:ln>
              <a:solidFill>
                <a:srgbClr val="00B0F0"/>
              </a:solidFill>
            </a:ln>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1F-8B25-42DD-A387-4444E8160485}"/>
            </c:ext>
          </c:extLst>
        </c:ser>
        <c:ser>
          <c:idx val="16"/>
          <c:order val="32"/>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20-8B25-42DD-A387-4444E8160485}"/>
            </c:ext>
          </c:extLst>
        </c:ser>
        <c:ser>
          <c:idx val="17"/>
          <c:order val="33"/>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21-8B25-42DD-A387-4444E8160485}"/>
            </c:ext>
          </c:extLst>
        </c:ser>
        <c:ser>
          <c:idx val="18"/>
          <c:order val="34"/>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22-8B25-42DD-A387-4444E8160485}"/>
            </c:ext>
          </c:extLst>
        </c:ser>
        <c:ser>
          <c:idx val="19"/>
          <c:order val="35"/>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23-8B25-42DD-A387-4444E8160485}"/>
            </c:ext>
          </c:extLst>
        </c:ser>
        <c:ser>
          <c:idx val="20"/>
          <c:order val="36"/>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24-8B25-42DD-A387-4444E8160485}"/>
            </c:ext>
          </c:extLst>
        </c:ser>
        <c:ser>
          <c:idx val="21"/>
          <c:order val="37"/>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25-8B25-42DD-A387-4444E8160485}"/>
            </c:ext>
          </c:extLst>
        </c:ser>
        <c:ser>
          <c:idx val="22"/>
          <c:order val="38"/>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26-8B25-42DD-A387-4444E8160485}"/>
            </c:ext>
          </c:extLst>
        </c:ser>
        <c:ser>
          <c:idx val="23"/>
          <c:order val="39"/>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27-8B25-42DD-A387-4444E8160485}"/>
            </c:ext>
          </c:extLst>
        </c:ser>
        <c:ser>
          <c:idx val="0"/>
          <c:order val="40"/>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28-8B25-42DD-A387-4444E8160485}"/>
            </c:ext>
          </c:extLst>
        </c:ser>
        <c:ser>
          <c:idx val="1"/>
          <c:order val="41"/>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29-8B25-42DD-A387-4444E8160485}"/>
            </c:ext>
          </c:extLst>
        </c:ser>
        <c:ser>
          <c:idx val="2"/>
          <c:order val="42"/>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2A-8B25-42DD-A387-4444E8160485}"/>
            </c:ext>
          </c:extLst>
        </c:ser>
        <c:ser>
          <c:idx val="4"/>
          <c:order val="43"/>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2B-8B25-42DD-A387-4444E8160485}"/>
            </c:ext>
          </c:extLst>
        </c:ser>
        <c:ser>
          <c:idx val="3"/>
          <c:order val="44"/>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2C-8B25-42DD-A387-4444E8160485}"/>
            </c:ext>
          </c:extLst>
        </c:ser>
        <c:ser>
          <c:idx val="5"/>
          <c:order val="45"/>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2D-8B25-42DD-A387-4444E8160485}"/>
            </c:ext>
          </c:extLst>
        </c:ser>
        <c:ser>
          <c:idx val="6"/>
          <c:order val="46"/>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2E-8B25-42DD-A387-4444E8160485}"/>
            </c:ext>
          </c:extLst>
        </c:ser>
        <c:ser>
          <c:idx val="7"/>
          <c:order val="47"/>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2F-8B25-42DD-A387-4444E8160485}"/>
            </c:ext>
          </c:extLst>
        </c:ser>
        <c:dLbls>
          <c:showLegendKey val="0"/>
          <c:showVal val="0"/>
          <c:showCatName val="0"/>
          <c:showSerName val="0"/>
          <c:showPercent val="0"/>
          <c:showBubbleSize val="0"/>
        </c:dLbls>
        <c:axId val="780359359"/>
        <c:axId val="780352159"/>
      </c:scatterChart>
      <c:valAx>
        <c:axId val="780359359"/>
        <c:scaling>
          <c:orientation val="minMax"/>
          <c:max val="2400"/>
          <c:min val="1.0000000000000002E-2"/>
        </c:scaling>
        <c:delete val="1"/>
        <c:axPos val="b"/>
        <c:numFmt formatCode="General" sourceLinked="1"/>
        <c:majorTickMark val="out"/>
        <c:minorTickMark val="none"/>
        <c:tickLblPos val="nextTo"/>
        <c:crossAx val="780352159"/>
        <c:crosses val="autoZero"/>
        <c:crossBetween val="midCat"/>
        <c:majorUnit val="250"/>
      </c:valAx>
      <c:valAx>
        <c:axId val="780352159"/>
        <c:scaling>
          <c:orientation val="minMax"/>
          <c:min val="-100"/>
        </c:scaling>
        <c:delete val="1"/>
        <c:axPos val="r"/>
        <c:numFmt formatCode="General" sourceLinked="1"/>
        <c:majorTickMark val="none"/>
        <c:minorTickMark val="none"/>
        <c:tickLblPos val="nextTo"/>
        <c:crossAx val="780359359"/>
        <c:crosses val="max"/>
        <c:crossBetween val="midCat"/>
      </c:valAx>
      <c:spPr>
        <a:ln>
          <a:noFill/>
        </a:ln>
      </c:spPr>
    </c:plotArea>
    <c:plotVisOnly val="1"/>
    <c:dispBlanksAs val="gap"/>
    <c:showDLblsOverMax val="0"/>
    <c:extLst/>
  </c:chart>
  <c:spPr>
    <a:solidFill>
      <a:schemeClr val="bg1"/>
    </a:solidFill>
    <a:ln w="12700" cap="flat" cmpd="sng" algn="ctr">
      <a:noFill/>
      <a:round/>
    </a:ln>
    <a:effectLst/>
  </c:spPr>
  <c:txPr>
    <a:bodyPr/>
    <a:lstStyle/>
    <a:p>
      <a:pPr>
        <a:defRPr/>
      </a:pPr>
      <a:endParaRPr lang="it-IT"/>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it-IT" sz="1200" b="0"/>
              <a:t>System section</a:t>
            </a:r>
          </a:p>
        </c:rich>
      </c:tx>
      <c:overlay val="0"/>
    </c:title>
    <c:autoTitleDeleted val="0"/>
    <c:plotArea>
      <c:layout/>
      <c:scatterChart>
        <c:scatterStyle val="lineMarker"/>
        <c:varyColors val="0"/>
        <c:ser>
          <c:idx val="12"/>
          <c:order val="0"/>
          <c:tx>
            <c:v>L1</c:v>
          </c:tx>
          <c:spPr>
            <a:ln>
              <a:solidFill>
                <a:schemeClr val="tx1"/>
              </a:solidFill>
            </a:ln>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0-3B01-49BA-9B29-103C9BAD8BC7}"/>
            </c:ext>
          </c:extLst>
        </c:ser>
        <c:ser>
          <c:idx val="13"/>
          <c:order val="1"/>
          <c:tx>
            <c:v>L2</c:v>
          </c:tx>
          <c:spPr>
            <a:ln>
              <a:solidFill>
                <a:schemeClr val="bg1">
                  <a:lumMod val="75000"/>
                </a:schemeClr>
              </a:solidFill>
            </a:ln>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1-3B01-49BA-9B29-103C9BAD8BC7}"/>
            </c:ext>
          </c:extLst>
        </c:ser>
        <c:ser>
          <c:idx val="14"/>
          <c:order val="2"/>
          <c:tx>
            <c:v>L3</c:v>
          </c:tx>
          <c:spPr>
            <a:ln>
              <a:solidFill>
                <a:schemeClr val="bg1">
                  <a:lumMod val="75000"/>
                </a:schemeClr>
              </a:solidFill>
            </a:ln>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2-3B01-49BA-9B29-103C9BAD8BC7}"/>
            </c:ext>
          </c:extLst>
        </c:ser>
        <c:ser>
          <c:idx val="15"/>
          <c:order val="3"/>
          <c:tx>
            <c:v>L4</c:v>
          </c:tx>
          <c:spPr>
            <a:ln>
              <a:solidFill>
                <a:schemeClr val="bg1">
                  <a:lumMod val="75000"/>
                </a:schemeClr>
              </a:solidFill>
            </a:ln>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3-3B01-49BA-9B29-103C9BAD8BC7}"/>
            </c:ext>
          </c:extLst>
        </c:ser>
        <c:ser>
          <c:idx val="16"/>
          <c:order val="4"/>
          <c:tx>
            <c:v>L5</c:v>
          </c:tx>
          <c:spPr>
            <a:ln>
              <a:solidFill>
                <a:schemeClr val="bg1">
                  <a:lumMod val="75000"/>
                </a:schemeClr>
              </a:solidFill>
            </a:ln>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4-3B01-49BA-9B29-103C9BAD8BC7}"/>
            </c:ext>
          </c:extLst>
        </c:ser>
        <c:ser>
          <c:idx val="17"/>
          <c:order val="5"/>
          <c:tx>
            <c:v>L6</c:v>
          </c:tx>
          <c:spPr>
            <a:ln>
              <a:solidFill>
                <a:schemeClr val="bg1">
                  <a:lumMod val="75000"/>
                </a:schemeClr>
              </a:solidFill>
            </a:ln>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5-3B01-49BA-9B29-103C9BAD8BC7}"/>
            </c:ext>
          </c:extLst>
        </c:ser>
        <c:ser>
          <c:idx val="18"/>
          <c:order val="6"/>
          <c:tx>
            <c:v>L7</c:v>
          </c:tx>
          <c:spPr>
            <a:ln>
              <a:solidFill>
                <a:schemeClr val="bg1">
                  <a:lumMod val="75000"/>
                </a:schemeClr>
              </a:solidFill>
            </a:ln>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6-3B01-49BA-9B29-103C9BAD8BC7}"/>
            </c:ext>
          </c:extLst>
        </c:ser>
        <c:ser>
          <c:idx val="19"/>
          <c:order val="7"/>
          <c:tx>
            <c:v>L8</c:v>
          </c:tx>
          <c:spPr>
            <a:ln>
              <a:solidFill>
                <a:schemeClr val="bg1">
                  <a:lumMod val="75000"/>
                </a:schemeClr>
              </a:solidFill>
            </a:ln>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7-3B01-49BA-9B29-103C9BAD8BC7}"/>
            </c:ext>
          </c:extLst>
        </c:ser>
        <c:ser>
          <c:idx val="20"/>
          <c:order val="8"/>
          <c:tx>
            <c:v>L9</c:v>
          </c:tx>
          <c:spPr>
            <a:ln>
              <a:solidFill>
                <a:schemeClr val="bg1">
                  <a:lumMod val="75000"/>
                </a:schemeClr>
              </a:solidFill>
            </a:ln>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8-3B01-49BA-9B29-103C9BAD8BC7}"/>
            </c:ext>
          </c:extLst>
        </c:ser>
        <c:ser>
          <c:idx val="21"/>
          <c:order val="9"/>
          <c:tx>
            <c:v>L10</c:v>
          </c:tx>
          <c:spPr>
            <a:ln>
              <a:solidFill>
                <a:schemeClr val="bg1">
                  <a:lumMod val="75000"/>
                </a:schemeClr>
              </a:solidFill>
            </a:ln>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9-3B01-49BA-9B29-103C9BAD8BC7}"/>
            </c:ext>
          </c:extLst>
        </c:ser>
        <c:ser>
          <c:idx val="22"/>
          <c:order val="10"/>
          <c:tx>
            <c:v>L11</c:v>
          </c:tx>
          <c:spPr>
            <a:ln>
              <a:solidFill>
                <a:schemeClr val="bg1">
                  <a:lumMod val="75000"/>
                </a:schemeClr>
              </a:solidFill>
            </a:ln>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A-3B01-49BA-9B29-103C9BAD8BC7}"/>
            </c:ext>
          </c:extLst>
        </c:ser>
        <c:ser>
          <c:idx val="23"/>
          <c:order val="11"/>
          <c:tx>
            <c:v>LT</c:v>
          </c:tx>
          <c:spPr>
            <a:ln>
              <a:solidFill>
                <a:sysClr val="windowText" lastClr="000000"/>
              </a:solidFill>
            </a:ln>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B-3B01-49BA-9B29-103C9BAD8BC7}"/>
            </c:ext>
          </c:extLst>
        </c:ser>
        <c:ser>
          <c:idx val="0"/>
          <c:order val="12"/>
          <c:spPr>
            <a:ln w="19050" cap="rnd">
              <a:solidFill>
                <a:schemeClr val="tx1"/>
              </a:solidFill>
              <a:round/>
            </a:ln>
            <a:effectLst/>
          </c:spPr>
          <c:marker>
            <c:symbol val="none"/>
          </c:marker>
          <c:xVal>
            <c:numRef>
              <c:f>Foglio1!$L$39:$L$40</c:f>
              <c:numCache>
                <c:formatCode>General</c:formatCode>
                <c:ptCount val="2"/>
                <c:pt idx="0">
                  <c:v>1200</c:v>
                </c:pt>
                <c:pt idx="1">
                  <c:v>2200</c:v>
                </c:pt>
              </c:numCache>
            </c:numRef>
          </c:xVal>
          <c:yVal>
            <c:numRef>
              <c:f>Foglio1!$M$39:$M$40</c:f>
              <c:numCache>
                <c:formatCode>General</c:formatCode>
                <c:ptCount val="2"/>
                <c:pt idx="0">
                  <c:v>0</c:v>
                </c:pt>
                <c:pt idx="1">
                  <c:v>0</c:v>
                </c:pt>
              </c:numCache>
            </c:numRef>
          </c:yVal>
          <c:smooth val="0"/>
          <c:extLst>
            <c:ext xmlns:c16="http://schemas.microsoft.com/office/drawing/2014/chart" uri="{C3380CC4-5D6E-409C-BE32-E72D297353CC}">
              <c16:uniqueId val="{0000000C-3B01-49BA-9B29-103C9BAD8BC7}"/>
            </c:ext>
          </c:extLst>
        </c:ser>
        <c:ser>
          <c:idx val="1"/>
          <c:order val="13"/>
          <c:spPr>
            <a:ln w="19050" cap="rnd">
              <a:solidFill>
                <a:schemeClr val="bg1">
                  <a:lumMod val="75000"/>
                </a:schemeClr>
              </a:solidFill>
              <a:round/>
            </a:ln>
            <a:effectLst/>
          </c:spPr>
          <c:marker>
            <c:symbol val="none"/>
          </c:marker>
          <c:xVal>
            <c:numRef>
              <c:f>Foglio1!$L$41:$L$42</c:f>
              <c:numCache>
                <c:formatCode>General</c:formatCode>
                <c:ptCount val="2"/>
                <c:pt idx="0">
                  <c:v>1200</c:v>
                </c:pt>
                <c:pt idx="1">
                  <c:v>2200</c:v>
                </c:pt>
              </c:numCache>
            </c:numRef>
          </c:xVal>
          <c:yVal>
            <c:numRef>
              <c:f>Foglio1!$M$41:$M$42</c:f>
              <c:numCache>
                <c:formatCode>General</c:formatCode>
                <c:ptCount val="2"/>
                <c:pt idx="0">
                  <c:v>40</c:v>
                </c:pt>
                <c:pt idx="1">
                  <c:v>40</c:v>
                </c:pt>
              </c:numCache>
            </c:numRef>
          </c:yVal>
          <c:smooth val="0"/>
          <c:extLst>
            <c:ext xmlns:c16="http://schemas.microsoft.com/office/drawing/2014/chart" uri="{C3380CC4-5D6E-409C-BE32-E72D297353CC}">
              <c16:uniqueId val="{0000000D-3B01-49BA-9B29-103C9BAD8BC7}"/>
            </c:ext>
          </c:extLst>
        </c:ser>
        <c:ser>
          <c:idx val="2"/>
          <c:order val="14"/>
          <c:spPr>
            <a:ln w="19050" cap="rnd">
              <a:solidFill>
                <a:schemeClr val="bg1">
                  <a:lumMod val="75000"/>
                </a:schemeClr>
              </a:solidFill>
              <a:round/>
            </a:ln>
            <a:effectLst/>
          </c:spPr>
          <c:marker>
            <c:symbol val="none"/>
          </c:marker>
          <c:xVal>
            <c:numRef>
              <c:f>Foglio1!$L$43:$L$44</c:f>
              <c:numCache>
                <c:formatCode>General</c:formatCode>
                <c:ptCount val="2"/>
                <c:pt idx="0">
                  <c:v>1200</c:v>
                </c:pt>
                <c:pt idx="1">
                  <c:v>2200</c:v>
                </c:pt>
              </c:numCache>
            </c:numRef>
          </c:xVal>
          <c:yVal>
            <c:numRef>
              <c:f>Foglio1!$M$43:$M$44</c:f>
              <c:numCache>
                <c:formatCode>General</c:formatCode>
                <c:ptCount val="2"/>
                <c:pt idx="0">
                  <c:v>80</c:v>
                </c:pt>
                <c:pt idx="1">
                  <c:v>80</c:v>
                </c:pt>
              </c:numCache>
            </c:numRef>
          </c:yVal>
          <c:smooth val="0"/>
          <c:extLst>
            <c:ext xmlns:c16="http://schemas.microsoft.com/office/drawing/2014/chart" uri="{C3380CC4-5D6E-409C-BE32-E72D297353CC}">
              <c16:uniqueId val="{0000000E-3B01-49BA-9B29-103C9BAD8BC7}"/>
            </c:ext>
          </c:extLst>
        </c:ser>
        <c:ser>
          <c:idx val="3"/>
          <c:order val="15"/>
          <c:spPr>
            <a:ln w="19050" cap="rnd">
              <a:solidFill>
                <a:schemeClr val="bg1">
                  <a:lumMod val="75000"/>
                </a:schemeClr>
              </a:solidFill>
              <a:round/>
            </a:ln>
            <a:effectLst/>
          </c:spPr>
          <c:marker>
            <c:symbol val="none"/>
          </c:marker>
          <c:xVal>
            <c:numRef>
              <c:f>Foglio1!$L$45:$L$46</c:f>
              <c:numCache>
                <c:formatCode>General</c:formatCode>
                <c:ptCount val="2"/>
                <c:pt idx="0">
                  <c:v>1200</c:v>
                </c:pt>
                <c:pt idx="1">
                  <c:v>2200</c:v>
                </c:pt>
              </c:numCache>
            </c:numRef>
          </c:xVal>
          <c:yVal>
            <c:numRef>
              <c:f>Foglio1!$M$45:$M$46</c:f>
              <c:numCache>
                <c:formatCode>General</c:formatCode>
                <c:ptCount val="2"/>
                <c:pt idx="0">
                  <c:v>110</c:v>
                </c:pt>
                <c:pt idx="1">
                  <c:v>110</c:v>
                </c:pt>
              </c:numCache>
            </c:numRef>
          </c:yVal>
          <c:smooth val="0"/>
          <c:extLst>
            <c:ext xmlns:c16="http://schemas.microsoft.com/office/drawing/2014/chart" uri="{C3380CC4-5D6E-409C-BE32-E72D297353CC}">
              <c16:uniqueId val="{0000000F-3B01-49BA-9B29-103C9BAD8BC7}"/>
            </c:ext>
          </c:extLst>
        </c:ser>
        <c:ser>
          <c:idx val="4"/>
          <c:order val="16"/>
          <c:spPr>
            <a:ln w="19050" cap="rnd">
              <a:solidFill>
                <a:schemeClr val="bg1">
                  <a:lumMod val="75000"/>
                </a:schemeClr>
              </a:solidFill>
              <a:round/>
            </a:ln>
            <a:effectLst/>
          </c:spPr>
          <c:marker>
            <c:symbol val="none"/>
          </c:marker>
          <c:xVal>
            <c:numRef>
              <c:f>Foglio1!$L$47:$L$48</c:f>
              <c:numCache>
                <c:formatCode>General</c:formatCode>
                <c:ptCount val="2"/>
                <c:pt idx="0">
                  <c:v>1200</c:v>
                </c:pt>
                <c:pt idx="1">
                  <c:v>2200</c:v>
                </c:pt>
              </c:numCache>
            </c:numRef>
          </c:xVal>
          <c:yVal>
            <c:numRef>
              <c:f>Foglio1!$M$47:$M$48</c:f>
              <c:numCache>
                <c:formatCode>General</c:formatCode>
                <c:ptCount val="2"/>
                <c:pt idx="0">
                  <c:v>150</c:v>
                </c:pt>
                <c:pt idx="1">
                  <c:v>150</c:v>
                </c:pt>
              </c:numCache>
            </c:numRef>
          </c:yVal>
          <c:smooth val="0"/>
          <c:extLst>
            <c:ext xmlns:c16="http://schemas.microsoft.com/office/drawing/2014/chart" uri="{C3380CC4-5D6E-409C-BE32-E72D297353CC}">
              <c16:uniqueId val="{00000010-3B01-49BA-9B29-103C9BAD8BC7}"/>
            </c:ext>
          </c:extLst>
        </c:ser>
        <c:ser>
          <c:idx val="5"/>
          <c:order val="17"/>
          <c:spPr>
            <a:ln w="19050" cap="rnd">
              <a:solidFill>
                <a:schemeClr val="bg1">
                  <a:lumMod val="75000"/>
                </a:schemeClr>
              </a:solidFill>
              <a:round/>
            </a:ln>
            <a:effectLst/>
          </c:spPr>
          <c:marker>
            <c:symbol val="none"/>
          </c:marker>
          <c:xVal>
            <c:numRef>
              <c:f>Foglio1!$L$49:$L$50</c:f>
              <c:numCache>
                <c:formatCode>General</c:formatCode>
                <c:ptCount val="2"/>
                <c:pt idx="0">
                  <c:v>1200</c:v>
                </c:pt>
                <c:pt idx="1">
                  <c:v>2200</c:v>
                </c:pt>
              </c:numCache>
            </c:numRef>
          </c:xVal>
          <c:yVal>
            <c:numRef>
              <c:f>Foglio1!$M$49:$M$50</c:f>
              <c:numCache>
                <c:formatCode>General</c:formatCode>
                <c:ptCount val="2"/>
                <c:pt idx="0">
                  <c:v>180</c:v>
                </c:pt>
                <c:pt idx="1">
                  <c:v>180</c:v>
                </c:pt>
              </c:numCache>
            </c:numRef>
          </c:yVal>
          <c:smooth val="0"/>
          <c:extLst>
            <c:ext xmlns:c16="http://schemas.microsoft.com/office/drawing/2014/chart" uri="{C3380CC4-5D6E-409C-BE32-E72D297353CC}">
              <c16:uniqueId val="{00000011-3B01-49BA-9B29-103C9BAD8BC7}"/>
            </c:ext>
          </c:extLst>
        </c:ser>
        <c:ser>
          <c:idx val="6"/>
          <c:order val="18"/>
          <c:spPr>
            <a:ln w="19050" cap="rnd">
              <a:solidFill>
                <a:schemeClr val="bg1">
                  <a:lumMod val="75000"/>
                </a:schemeClr>
              </a:solidFill>
              <a:round/>
            </a:ln>
            <a:effectLst/>
          </c:spPr>
          <c:marker>
            <c:symbol val="none"/>
          </c:marker>
          <c:xVal>
            <c:numRef>
              <c:f>Foglio1!$L$51:$L$52</c:f>
              <c:numCache>
                <c:formatCode>General</c:formatCode>
                <c:ptCount val="2"/>
                <c:pt idx="0">
                  <c:v>1200</c:v>
                </c:pt>
                <c:pt idx="1">
                  <c:v>2200</c:v>
                </c:pt>
              </c:numCache>
            </c:numRef>
          </c:xVal>
          <c:yVal>
            <c:numRef>
              <c:f>Foglio1!$M$51:$M$52</c:f>
              <c:numCache>
                <c:formatCode>General</c:formatCode>
                <c:ptCount val="2"/>
                <c:pt idx="0">
                  <c:v>220</c:v>
                </c:pt>
                <c:pt idx="1">
                  <c:v>220</c:v>
                </c:pt>
              </c:numCache>
            </c:numRef>
          </c:yVal>
          <c:smooth val="0"/>
          <c:extLst>
            <c:ext xmlns:c16="http://schemas.microsoft.com/office/drawing/2014/chart" uri="{C3380CC4-5D6E-409C-BE32-E72D297353CC}">
              <c16:uniqueId val="{00000012-3B01-49BA-9B29-103C9BAD8BC7}"/>
            </c:ext>
          </c:extLst>
        </c:ser>
        <c:ser>
          <c:idx val="7"/>
          <c:order val="19"/>
          <c:spPr>
            <a:ln w="19050" cap="rnd">
              <a:solidFill>
                <a:schemeClr val="bg1">
                  <a:lumMod val="75000"/>
                </a:schemeClr>
              </a:solidFill>
              <a:round/>
            </a:ln>
            <a:effectLst/>
          </c:spPr>
          <c:marker>
            <c:symbol val="none"/>
          </c:marker>
          <c:xVal>
            <c:numRef>
              <c:f>Foglio1!$L$53:$L$54</c:f>
              <c:numCache>
                <c:formatCode>General</c:formatCode>
                <c:ptCount val="2"/>
                <c:pt idx="0">
                  <c:v>1200</c:v>
                </c:pt>
                <c:pt idx="1">
                  <c:v>1200</c:v>
                </c:pt>
              </c:numCache>
            </c:numRef>
          </c:xVal>
          <c:yVal>
            <c:numRef>
              <c:f>Foglio1!$M$53:$M$54</c:f>
              <c:numCache>
                <c:formatCode>General</c:formatCode>
                <c:ptCount val="2"/>
                <c:pt idx="0">
                  <c:v>260</c:v>
                </c:pt>
                <c:pt idx="1">
                  <c:v>260</c:v>
                </c:pt>
              </c:numCache>
            </c:numRef>
          </c:yVal>
          <c:smooth val="0"/>
          <c:extLst>
            <c:ext xmlns:c16="http://schemas.microsoft.com/office/drawing/2014/chart" uri="{C3380CC4-5D6E-409C-BE32-E72D297353CC}">
              <c16:uniqueId val="{00000013-3B01-49BA-9B29-103C9BAD8BC7}"/>
            </c:ext>
          </c:extLst>
        </c:ser>
        <c:ser>
          <c:idx val="8"/>
          <c:order val="20"/>
          <c:spPr>
            <a:ln w="19050" cap="rnd">
              <a:solidFill>
                <a:schemeClr val="bg1">
                  <a:lumMod val="75000"/>
                </a:schemeClr>
              </a:solidFill>
              <a:round/>
            </a:ln>
            <a:effectLst/>
          </c:spPr>
          <c:marker>
            <c:symbol val="none"/>
          </c:marker>
          <c:xVal>
            <c:numRef>
              <c:f>Foglio1!$L$55:$L$56</c:f>
              <c:numCache>
                <c:formatCode>General</c:formatCode>
                <c:ptCount val="2"/>
                <c:pt idx="0">
                  <c:v>1200</c:v>
                </c:pt>
                <c:pt idx="1">
                  <c:v>1200</c:v>
                </c:pt>
              </c:numCache>
            </c:numRef>
          </c:xVal>
          <c:yVal>
            <c:numRef>
              <c:f>Foglio1!$M$55:$M$56</c:f>
              <c:numCache>
                <c:formatCode>General</c:formatCode>
                <c:ptCount val="2"/>
                <c:pt idx="0">
                  <c:v>0</c:v>
                </c:pt>
                <c:pt idx="1">
                  <c:v>0</c:v>
                </c:pt>
              </c:numCache>
            </c:numRef>
          </c:yVal>
          <c:smooth val="0"/>
          <c:extLst>
            <c:ext xmlns:c16="http://schemas.microsoft.com/office/drawing/2014/chart" uri="{C3380CC4-5D6E-409C-BE32-E72D297353CC}">
              <c16:uniqueId val="{00000014-3B01-49BA-9B29-103C9BAD8BC7}"/>
            </c:ext>
          </c:extLst>
        </c:ser>
        <c:ser>
          <c:idx val="9"/>
          <c:order val="21"/>
          <c:spPr>
            <a:ln w="19050" cap="rnd">
              <a:solidFill>
                <a:schemeClr val="bg1">
                  <a:lumMod val="75000"/>
                </a:schemeClr>
              </a:solidFill>
              <a:round/>
            </a:ln>
            <a:effectLst/>
          </c:spPr>
          <c:marker>
            <c:symbol val="none"/>
          </c:marker>
          <c:xVal>
            <c:numRef>
              <c:f>Foglio1!$L$57:$L$58</c:f>
              <c:numCache>
                <c:formatCode>General</c:formatCode>
                <c:ptCount val="2"/>
                <c:pt idx="0">
                  <c:v>1200</c:v>
                </c:pt>
                <c:pt idx="1">
                  <c:v>1200</c:v>
                </c:pt>
              </c:numCache>
            </c:numRef>
          </c:xVal>
          <c:yVal>
            <c:numRef>
              <c:f>Foglio1!$M$57:$M$58</c:f>
              <c:numCache>
                <c:formatCode>General</c:formatCode>
                <c:ptCount val="2"/>
                <c:pt idx="0">
                  <c:v>0</c:v>
                </c:pt>
                <c:pt idx="1">
                  <c:v>0</c:v>
                </c:pt>
              </c:numCache>
            </c:numRef>
          </c:yVal>
          <c:smooth val="0"/>
          <c:extLst>
            <c:ext xmlns:c16="http://schemas.microsoft.com/office/drawing/2014/chart" uri="{C3380CC4-5D6E-409C-BE32-E72D297353CC}">
              <c16:uniqueId val="{00000015-3B01-49BA-9B29-103C9BAD8BC7}"/>
            </c:ext>
          </c:extLst>
        </c:ser>
        <c:ser>
          <c:idx val="10"/>
          <c:order val="22"/>
          <c:spPr>
            <a:ln w="19050" cap="rnd">
              <a:solidFill>
                <a:schemeClr val="bg1">
                  <a:lumMod val="75000"/>
                </a:schemeClr>
              </a:solidFill>
              <a:round/>
            </a:ln>
            <a:effectLst/>
          </c:spPr>
          <c:marker>
            <c:symbol val="none"/>
          </c:marker>
          <c:xVal>
            <c:numRef>
              <c:f>Foglio1!$L$59:$L$60</c:f>
              <c:numCache>
                <c:formatCode>General</c:formatCode>
                <c:ptCount val="2"/>
                <c:pt idx="0">
                  <c:v>1200</c:v>
                </c:pt>
                <c:pt idx="1">
                  <c:v>1200</c:v>
                </c:pt>
              </c:numCache>
            </c:numRef>
          </c:xVal>
          <c:yVal>
            <c:numRef>
              <c:f>Foglio1!$M$59:$M$60</c:f>
              <c:numCache>
                <c:formatCode>General</c:formatCode>
                <c:ptCount val="2"/>
                <c:pt idx="0">
                  <c:v>0</c:v>
                </c:pt>
                <c:pt idx="1">
                  <c:v>0</c:v>
                </c:pt>
              </c:numCache>
            </c:numRef>
          </c:yVal>
          <c:smooth val="0"/>
          <c:extLst>
            <c:ext xmlns:c16="http://schemas.microsoft.com/office/drawing/2014/chart" uri="{C3380CC4-5D6E-409C-BE32-E72D297353CC}">
              <c16:uniqueId val="{00000016-3B01-49BA-9B29-103C9BAD8BC7}"/>
            </c:ext>
          </c:extLst>
        </c:ser>
        <c:ser>
          <c:idx val="11"/>
          <c:order val="23"/>
          <c:spPr>
            <a:ln w="19050" cap="rnd">
              <a:solidFill>
                <a:sysClr val="windowText" lastClr="000000"/>
              </a:solidFill>
              <a:round/>
            </a:ln>
            <a:effectLst/>
          </c:spPr>
          <c:marker>
            <c:symbol val="none"/>
          </c:marker>
          <c:xVal>
            <c:numRef>
              <c:f>Foglio1!$L$61:$L$62</c:f>
              <c:numCache>
                <c:formatCode>General</c:formatCode>
                <c:ptCount val="2"/>
                <c:pt idx="0">
                  <c:v>1200</c:v>
                </c:pt>
                <c:pt idx="1">
                  <c:v>2200</c:v>
                </c:pt>
              </c:numCache>
            </c:numRef>
          </c:xVal>
          <c:yVal>
            <c:numRef>
              <c:f>Foglio1!$M$61:$M$62</c:f>
              <c:numCache>
                <c:formatCode>General</c:formatCode>
                <c:ptCount val="2"/>
                <c:pt idx="0">
                  <c:v>260</c:v>
                </c:pt>
                <c:pt idx="1">
                  <c:v>260</c:v>
                </c:pt>
              </c:numCache>
            </c:numRef>
          </c:yVal>
          <c:smooth val="0"/>
          <c:extLst>
            <c:ext xmlns:c16="http://schemas.microsoft.com/office/drawing/2014/chart" uri="{C3380CC4-5D6E-409C-BE32-E72D297353CC}">
              <c16:uniqueId val="{00000017-3B01-49BA-9B29-103C9BAD8BC7}"/>
            </c:ext>
          </c:extLst>
        </c:ser>
        <c:ser>
          <c:idx val="24"/>
          <c:order val="24"/>
          <c:tx>
            <c:v>v1</c:v>
          </c:tx>
          <c:spPr>
            <a:ln>
              <a:solidFill>
                <a:schemeClr val="tx1"/>
              </a:solidFill>
            </a:ln>
          </c:spPr>
          <c:marker>
            <c:symbol val="none"/>
          </c:marker>
          <c:xVal>
            <c:numRef>
              <c:f>Foglio1!$I$65:$I$66</c:f>
              <c:numCache>
                <c:formatCode>General</c:formatCode>
                <c:ptCount val="2"/>
                <c:pt idx="0">
                  <c:v>1000</c:v>
                </c:pt>
                <c:pt idx="1">
                  <c:v>1000</c:v>
                </c:pt>
              </c:numCache>
            </c:numRef>
          </c:xVal>
          <c:yVal>
            <c:numRef>
              <c:f>Foglio1!$J$65:$J$66</c:f>
              <c:numCache>
                <c:formatCode>General</c:formatCode>
                <c:ptCount val="2"/>
                <c:pt idx="0">
                  <c:v>0</c:v>
                </c:pt>
                <c:pt idx="1">
                  <c:v>260</c:v>
                </c:pt>
              </c:numCache>
            </c:numRef>
          </c:yVal>
          <c:smooth val="0"/>
          <c:extLst>
            <c:ext xmlns:c16="http://schemas.microsoft.com/office/drawing/2014/chart" uri="{C3380CC4-5D6E-409C-BE32-E72D297353CC}">
              <c16:uniqueId val="{00000018-3B01-49BA-9B29-103C9BAD8BC7}"/>
            </c:ext>
          </c:extLst>
        </c:ser>
        <c:ser>
          <c:idx val="25"/>
          <c:order val="25"/>
          <c:tx>
            <c:v>V2</c:v>
          </c:tx>
          <c:spPr>
            <a:ln>
              <a:solidFill>
                <a:schemeClr val="tx1"/>
              </a:solidFill>
            </a:ln>
          </c:spPr>
          <c:marker>
            <c:symbol val="none"/>
          </c:marker>
          <c:xVal>
            <c:numRef>
              <c:f>Foglio1!$I$67:$I$68</c:f>
              <c:numCache>
                <c:formatCode>General</c:formatCode>
                <c:ptCount val="2"/>
                <c:pt idx="0">
                  <c:v>1200</c:v>
                </c:pt>
                <c:pt idx="1">
                  <c:v>1200</c:v>
                </c:pt>
              </c:numCache>
            </c:numRef>
          </c:xVal>
          <c:yVal>
            <c:numRef>
              <c:f>Foglio1!$J$67:$J$68</c:f>
              <c:numCache>
                <c:formatCode>General</c:formatCode>
                <c:ptCount val="2"/>
                <c:pt idx="0">
                  <c:v>0</c:v>
                </c:pt>
                <c:pt idx="1">
                  <c:v>260</c:v>
                </c:pt>
              </c:numCache>
            </c:numRef>
          </c:yVal>
          <c:smooth val="0"/>
          <c:extLst>
            <c:ext xmlns:c16="http://schemas.microsoft.com/office/drawing/2014/chart" uri="{C3380CC4-5D6E-409C-BE32-E72D297353CC}">
              <c16:uniqueId val="{00000019-3B01-49BA-9B29-103C9BAD8BC7}"/>
            </c:ext>
          </c:extLst>
        </c:ser>
        <c:ser>
          <c:idx val="26"/>
          <c:order val="26"/>
          <c:tx>
            <c:v>Visx</c:v>
          </c:tx>
          <c:spPr>
            <a:ln w="38100">
              <a:solidFill>
                <a:srgbClr val="FF0000"/>
              </a:solidFill>
            </a:ln>
          </c:spPr>
          <c:marker>
            <c:symbol val="none"/>
          </c:marker>
          <c:xVal>
            <c:numRef>
              <c:f>Foglio1!$I$73:$I$74</c:f>
              <c:numCache>
                <c:formatCode>General</c:formatCode>
                <c:ptCount val="2"/>
                <c:pt idx="0">
                  <c:v>730</c:v>
                </c:pt>
                <c:pt idx="1">
                  <c:v>1180</c:v>
                </c:pt>
              </c:numCache>
            </c:numRef>
          </c:xVal>
          <c:yVal>
            <c:numRef>
              <c:f>Foglio1!$J$73:$J$74</c:f>
              <c:numCache>
                <c:formatCode>General</c:formatCode>
                <c:ptCount val="2"/>
                <c:pt idx="0">
                  <c:v>45</c:v>
                </c:pt>
                <c:pt idx="1">
                  <c:v>45</c:v>
                </c:pt>
              </c:numCache>
            </c:numRef>
          </c:yVal>
          <c:smooth val="0"/>
          <c:extLst>
            <c:ext xmlns:c16="http://schemas.microsoft.com/office/drawing/2014/chart" uri="{C3380CC4-5D6E-409C-BE32-E72D297353CC}">
              <c16:uniqueId val="{0000001A-3B01-49BA-9B29-103C9BAD8BC7}"/>
            </c:ext>
          </c:extLst>
        </c:ser>
        <c:ser>
          <c:idx val="27"/>
          <c:order val="27"/>
          <c:tx>
            <c:v>vidx</c:v>
          </c:tx>
          <c:spPr>
            <a:ln w="38100">
              <a:solidFill>
                <a:srgbClr val="FF0000"/>
              </a:solidFill>
            </a:ln>
          </c:spPr>
          <c:marker>
            <c:symbol val="none"/>
          </c:marker>
          <c:xVal>
            <c:numRef>
              <c:f>Foglio1!$M$73:$M$74</c:f>
              <c:numCache>
                <c:formatCode>General</c:formatCode>
                <c:ptCount val="2"/>
                <c:pt idx="0">
                  <c:v>1020</c:v>
                </c:pt>
                <c:pt idx="1">
                  <c:v>1470</c:v>
                </c:pt>
              </c:numCache>
            </c:numRef>
          </c:xVal>
          <c:yVal>
            <c:numRef>
              <c:f>Foglio1!$N$73:$N$74</c:f>
              <c:numCache>
                <c:formatCode>General</c:formatCode>
                <c:ptCount val="2"/>
                <c:pt idx="0">
                  <c:v>55</c:v>
                </c:pt>
                <c:pt idx="1">
                  <c:v>55</c:v>
                </c:pt>
              </c:numCache>
            </c:numRef>
          </c:yVal>
          <c:smooth val="0"/>
          <c:extLst>
            <c:ext xmlns:c16="http://schemas.microsoft.com/office/drawing/2014/chart" uri="{C3380CC4-5D6E-409C-BE32-E72D297353CC}">
              <c16:uniqueId val="{0000001B-3B01-49BA-9B29-103C9BAD8BC7}"/>
            </c:ext>
          </c:extLst>
        </c:ser>
        <c:ser>
          <c:idx val="28"/>
          <c:order val="28"/>
          <c:tx>
            <c:v>Vssx</c:v>
          </c:tx>
          <c:spPr>
            <a:ln w="28575">
              <a:solidFill>
                <a:srgbClr val="0070C0"/>
              </a:solidFill>
            </a:ln>
          </c:spPr>
          <c:marker>
            <c:symbol val="none"/>
          </c:marker>
          <c:xVal>
            <c:numRef>
              <c:f>Foglio1!$I$77:$I$78</c:f>
              <c:numCache>
                <c:formatCode>General</c:formatCode>
                <c:ptCount val="2"/>
                <c:pt idx="0">
                  <c:v>730</c:v>
                </c:pt>
                <c:pt idx="1">
                  <c:v>1180</c:v>
                </c:pt>
              </c:numCache>
            </c:numRef>
          </c:xVal>
          <c:yVal>
            <c:numRef>
              <c:f>Foglio1!$J$77:$J$78</c:f>
              <c:numCache>
                <c:formatCode>General</c:formatCode>
                <c:ptCount val="2"/>
                <c:pt idx="0">
                  <c:v>215</c:v>
                </c:pt>
                <c:pt idx="1">
                  <c:v>215</c:v>
                </c:pt>
              </c:numCache>
            </c:numRef>
          </c:yVal>
          <c:smooth val="0"/>
          <c:extLst>
            <c:ext xmlns:c16="http://schemas.microsoft.com/office/drawing/2014/chart" uri="{C3380CC4-5D6E-409C-BE32-E72D297353CC}">
              <c16:uniqueId val="{0000001C-3B01-49BA-9B29-103C9BAD8BC7}"/>
            </c:ext>
          </c:extLst>
        </c:ser>
        <c:ser>
          <c:idx val="29"/>
          <c:order val="29"/>
          <c:tx>
            <c:v>vsdx</c:v>
          </c:tx>
          <c:spPr>
            <a:ln w="28575">
              <a:solidFill>
                <a:srgbClr val="0070C0"/>
              </a:solidFill>
            </a:ln>
          </c:spPr>
          <c:marker>
            <c:symbol val="none"/>
          </c:marker>
          <c:xVal>
            <c:numRef>
              <c:f>Foglio1!$M$77:$M$78</c:f>
              <c:numCache>
                <c:formatCode>General</c:formatCode>
                <c:ptCount val="2"/>
                <c:pt idx="0">
                  <c:v>1020</c:v>
                </c:pt>
                <c:pt idx="1">
                  <c:v>1470</c:v>
                </c:pt>
              </c:numCache>
            </c:numRef>
          </c:xVal>
          <c:yVal>
            <c:numRef>
              <c:f>Foglio1!$N$77:$N$78</c:f>
              <c:numCache>
                <c:formatCode>General</c:formatCode>
                <c:ptCount val="2"/>
                <c:pt idx="0">
                  <c:v>225</c:v>
                </c:pt>
                <c:pt idx="1">
                  <c:v>225</c:v>
                </c:pt>
              </c:numCache>
            </c:numRef>
          </c:yVal>
          <c:smooth val="0"/>
          <c:extLst>
            <c:ext xmlns:c16="http://schemas.microsoft.com/office/drawing/2014/chart" uri="{C3380CC4-5D6E-409C-BE32-E72D297353CC}">
              <c16:uniqueId val="{0000001D-3B01-49BA-9B29-103C9BAD8BC7}"/>
            </c:ext>
          </c:extLst>
        </c:ser>
        <c:ser>
          <c:idx val="30"/>
          <c:order val="30"/>
          <c:tx>
            <c:v>tavoletta</c:v>
          </c:tx>
          <c:spPr>
            <a:ln>
              <a:solidFill>
                <a:schemeClr val="tx1">
                  <a:lumMod val="75000"/>
                  <a:lumOff val="25000"/>
                </a:schemeClr>
              </a:solidFill>
            </a:ln>
          </c:spPr>
          <c:marker>
            <c:symbol val="none"/>
          </c:marker>
          <c:xVal>
            <c:numRef>
              <c:f>Foglio1!$I$82:$I$83</c:f>
              <c:numCache>
                <c:formatCode>General</c:formatCode>
                <c:ptCount val="2"/>
                <c:pt idx="0">
                  <c:v>970</c:v>
                </c:pt>
                <c:pt idx="1">
                  <c:v>1230</c:v>
                </c:pt>
              </c:numCache>
            </c:numRef>
          </c:xVal>
          <c:yVal>
            <c:numRef>
              <c:f>Foglio1!$J$82:$J$83</c:f>
              <c:numCache>
                <c:formatCode>General</c:formatCode>
                <c:ptCount val="2"/>
                <c:pt idx="0">
                  <c:v>0</c:v>
                </c:pt>
                <c:pt idx="1">
                  <c:v>0</c:v>
                </c:pt>
              </c:numCache>
            </c:numRef>
          </c:yVal>
          <c:smooth val="0"/>
          <c:extLst>
            <c:ext xmlns:c16="http://schemas.microsoft.com/office/drawing/2014/chart" uri="{C3380CC4-5D6E-409C-BE32-E72D297353CC}">
              <c16:uniqueId val="{0000001E-3B01-49BA-9B29-103C9BAD8BC7}"/>
            </c:ext>
          </c:extLst>
        </c:ser>
        <c:ser>
          <c:idx val="31"/>
          <c:order val="31"/>
          <c:tx>
            <c:v>tav2</c:v>
          </c:tx>
          <c:spPr>
            <a:ln>
              <a:solidFill>
                <a:schemeClr val="tx1">
                  <a:lumMod val="75000"/>
                  <a:lumOff val="25000"/>
                </a:schemeClr>
              </a:solidFill>
            </a:ln>
          </c:spPr>
          <c:marker>
            <c:symbol val="none"/>
          </c:marker>
          <c:xVal>
            <c:numRef>
              <c:f>Foglio1!$I$85:$I$86</c:f>
              <c:numCache>
                <c:formatCode>General</c:formatCode>
                <c:ptCount val="2"/>
                <c:pt idx="0">
                  <c:v>970</c:v>
                </c:pt>
                <c:pt idx="1">
                  <c:v>1230</c:v>
                </c:pt>
              </c:numCache>
            </c:numRef>
          </c:xVal>
          <c:yVal>
            <c:numRef>
              <c:f>Foglio1!$J$85:$J$86</c:f>
              <c:numCache>
                <c:formatCode>General</c:formatCode>
                <c:ptCount val="2"/>
                <c:pt idx="0">
                  <c:v>0</c:v>
                </c:pt>
                <c:pt idx="1">
                  <c:v>0</c:v>
                </c:pt>
              </c:numCache>
            </c:numRef>
          </c:yVal>
          <c:smooth val="0"/>
          <c:extLst>
            <c:ext xmlns:c16="http://schemas.microsoft.com/office/drawing/2014/chart" uri="{C3380CC4-5D6E-409C-BE32-E72D297353CC}">
              <c16:uniqueId val="{0000001F-3B01-49BA-9B29-103C9BAD8BC7}"/>
            </c:ext>
          </c:extLst>
        </c:ser>
        <c:ser>
          <c:idx val="32"/>
          <c:order val="32"/>
          <c:tx>
            <c:v>tav3</c:v>
          </c:tx>
          <c:spPr>
            <a:ln>
              <a:solidFill>
                <a:schemeClr val="tx1">
                  <a:lumMod val="75000"/>
                  <a:lumOff val="25000"/>
                </a:schemeClr>
              </a:solidFill>
            </a:ln>
          </c:spPr>
          <c:marker>
            <c:symbol val="none"/>
          </c:marker>
          <c:xVal>
            <c:numRef>
              <c:f>Foglio1!$I$88:$I$89</c:f>
              <c:numCache>
                <c:formatCode>General</c:formatCode>
                <c:ptCount val="2"/>
                <c:pt idx="0">
                  <c:v>970</c:v>
                </c:pt>
                <c:pt idx="1">
                  <c:v>970</c:v>
                </c:pt>
              </c:numCache>
            </c:numRef>
          </c:xVal>
          <c:yVal>
            <c:numRef>
              <c:f>Foglio1!$J$88:$J$89</c:f>
              <c:numCache>
                <c:formatCode>General</c:formatCode>
                <c:ptCount val="2"/>
                <c:pt idx="0">
                  <c:v>0</c:v>
                </c:pt>
                <c:pt idx="1">
                  <c:v>0</c:v>
                </c:pt>
              </c:numCache>
            </c:numRef>
          </c:yVal>
          <c:smooth val="0"/>
          <c:extLst>
            <c:ext xmlns:c16="http://schemas.microsoft.com/office/drawing/2014/chart" uri="{C3380CC4-5D6E-409C-BE32-E72D297353CC}">
              <c16:uniqueId val="{00000020-3B01-49BA-9B29-103C9BAD8BC7}"/>
            </c:ext>
          </c:extLst>
        </c:ser>
        <c:ser>
          <c:idx val="33"/>
          <c:order val="33"/>
          <c:tx>
            <c:v>tav4</c:v>
          </c:tx>
          <c:spPr>
            <a:ln>
              <a:solidFill>
                <a:schemeClr val="tx1">
                  <a:lumMod val="75000"/>
                  <a:lumOff val="25000"/>
                </a:schemeClr>
              </a:solidFill>
            </a:ln>
          </c:spPr>
          <c:marker>
            <c:symbol val="none"/>
          </c:marker>
          <c:xVal>
            <c:numRef>
              <c:f>Foglio1!$I$91:$I$92</c:f>
              <c:numCache>
                <c:formatCode>General</c:formatCode>
                <c:ptCount val="2"/>
                <c:pt idx="0">
                  <c:v>1230</c:v>
                </c:pt>
                <c:pt idx="1">
                  <c:v>1230</c:v>
                </c:pt>
              </c:numCache>
            </c:numRef>
          </c:xVal>
          <c:yVal>
            <c:numRef>
              <c:f>Foglio1!$J$91:$J$92</c:f>
              <c:numCache>
                <c:formatCode>General</c:formatCode>
                <c:ptCount val="2"/>
                <c:pt idx="0">
                  <c:v>0</c:v>
                </c:pt>
                <c:pt idx="1">
                  <c:v>0</c:v>
                </c:pt>
              </c:numCache>
            </c:numRef>
          </c:yVal>
          <c:smooth val="0"/>
          <c:extLst>
            <c:ext xmlns:c16="http://schemas.microsoft.com/office/drawing/2014/chart" uri="{C3380CC4-5D6E-409C-BE32-E72D297353CC}">
              <c16:uniqueId val="{00000021-3B01-49BA-9B29-103C9BAD8BC7}"/>
            </c:ext>
          </c:extLst>
        </c:ser>
        <c:ser>
          <c:idx val="34"/>
          <c:order val="34"/>
          <c:tx>
            <c:v>conc</c:v>
          </c:tx>
          <c:spPr>
            <a:ln>
              <a:solidFill>
                <a:schemeClr val="bg1">
                  <a:lumMod val="75000"/>
                </a:schemeClr>
              </a:solidFill>
            </a:ln>
          </c:spPr>
          <c:marker>
            <c:symbol val="none"/>
          </c:marker>
          <c:xVal>
            <c:numRef>
              <c:f>Foglio1!$I$95:$I$96</c:f>
              <c:numCache>
                <c:formatCode>General</c:formatCode>
                <c:ptCount val="2"/>
                <c:pt idx="0">
                  <c:v>1000</c:v>
                </c:pt>
                <c:pt idx="1">
                  <c:v>1200</c:v>
                </c:pt>
              </c:numCache>
            </c:numRef>
          </c:xVal>
          <c:yVal>
            <c:numRef>
              <c:f>Foglio1!$J$95:$J$96</c:f>
              <c:numCache>
                <c:formatCode>General</c:formatCode>
                <c:ptCount val="2"/>
                <c:pt idx="0">
                  <c:v>260</c:v>
                </c:pt>
                <c:pt idx="1">
                  <c:v>260</c:v>
                </c:pt>
              </c:numCache>
            </c:numRef>
          </c:yVal>
          <c:smooth val="0"/>
          <c:extLst>
            <c:ext xmlns:c16="http://schemas.microsoft.com/office/drawing/2014/chart" uri="{C3380CC4-5D6E-409C-BE32-E72D297353CC}">
              <c16:uniqueId val="{00000022-3B01-49BA-9B29-103C9BAD8BC7}"/>
            </c:ext>
          </c:extLst>
        </c:ser>
        <c:ser>
          <c:idx val="35"/>
          <c:order val="35"/>
          <c:spPr>
            <a:ln>
              <a:solidFill>
                <a:schemeClr val="bg1">
                  <a:lumMod val="65000"/>
                </a:schemeClr>
              </a:solidFill>
            </a:ln>
          </c:spPr>
          <c:marker>
            <c:symbol val="none"/>
          </c:marker>
          <c:xVal>
            <c:numRef>
              <c:f>Foglio1!$AJ$45:$AJ$49</c:f>
              <c:numCache>
                <c:formatCode>General</c:formatCode>
                <c:ptCount val="5"/>
                <c:pt idx="0">
                  <c:v>1020</c:v>
                </c:pt>
                <c:pt idx="1">
                  <c:v>1020</c:v>
                </c:pt>
                <c:pt idx="2">
                  <c:v>1180</c:v>
                </c:pt>
                <c:pt idx="3">
                  <c:v>1180</c:v>
                </c:pt>
                <c:pt idx="4">
                  <c:v>1020</c:v>
                </c:pt>
              </c:numCache>
            </c:numRef>
          </c:xVal>
          <c:yVal>
            <c:numRef>
              <c:f>Foglio1!$AK$45:$AK$49</c:f>
              <c:numCache>
                <c:formatCode>General</c:formatCode>
                <c:ptCount val="5"/>
                <c:pt idx="0">
                  <c:v>20</c:v>
                </c:pt>
                <c:pt idx="1">
                  <c:v>240</c:v>
                </c:pt>
                <c:pt idx="2">
                  <c:v>240</c:v>
                </c:pt>
                <c:pt idx="3">
                  <c:v>20</c:v>
                </c:pt>
                <c:pt idx="4">
                  <c:v>20</c:v>
                </c:pt>
              </c:numCache>
            </c:numRef>
          </c:yVal>
          <c:smooth val="0"/>
          <c:extLst>
            <c:ext xmlns:c16="http://schemas.microsoft.com/office/drawing/2014/chart" uri="{C3380CC4-5D6E-409C-BE32-E72D297353CC}">
              <c16:uniqueId val="{00000023-3B01-49BA-9B29-103C9BAD8BC7}"/>
            </c:ext>
          </c:extLst>
        </c:ser>
        <c:ser>
          <c:idx val="36"/>
          <c:order val="36"/>
          <c:tx>
            <c:v>F1</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dPt>
            <c:idx val="0"/>
            <c:bubble3D val="0"/>
            <c:extLst>
              <c:ext xmlns:c16="http://schemas.microsoft.com/office/drawing/2014/chart" uri="{C3380CC4-5D6E-409C-BE32-E72D297353CC}">
                <c16:uniqueId val="{00000024-3B01-49BA-9B29-103C9BAD8BC7}"/>
              </c:ext>
            </c:extLst>
          </c:dPt>
          <c:xVal>
            <c:numRef>
              <c:f>Foglio1!$AJ$52</c:f>
              <c:numCache>
                <c:formatCode>General</c:formatCode>
                <c:ptCount val="1"/>
                <c:pt idx="0">
                  <c:v>1028</c:v>
                </c:pt>
              </c:numCache>
            </c:numRef>
          </c:xVal>
          <c:yVal>
            <c:numRef>
              <c:f>Foglio1!$AK$52</c:f>
              <c:numCache>
                <c:formatCode>General</c:formatCode>
                <c:ptCount val="1"/>
                <c:pt idx="0">
                  <c:v>24</c:v>
                </c:pt>
              </c:numCache>
            </c:numRef>
          </c:yVal>
          <c:smooth val="0"/>
          <c:extLst>
            <c:ext xmlns:c16="http://schemas.microsoft.com/office/drawing/2014/chart" uri="{C3380CC4-5D6E-409C-BE32-E72D297353CC}">
              <c16:uniqueId val="{00000025-3B01-49BA-9B29-103C9BAD8BC7}"/>
            </c:ext>
          </c:extLst>
        </c:ser>
        <c:ser>
          <c:idx val="37"/>
          <c:order val="37"/>
          <c:tx>
            <c:v>F2</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Foglio1!$AJ$53</c:f>
              <c:numCache>
                <c:formatCode>General</c:formatCode>
                <c:ptCount val="1"/>
                <c:pt idx="0">
                  <c:v>1028</c:v>
                </c:pt>
              </c:numCache>
            </c:numRef>
          </c:xVal>
          <c:yVal>
            <c:numRef>
              <c:f>Foglio1!$AK$53</c:f>
              <c:numCache>
                <c:formatCode>General</c:formatCode>
                <c:ptCount val="1"/>
                <c:pt idx="0">
                  <c:v>236</c:v>
                </c:pt>
              </c:numCache>
            </c:numRef>
          </c:yVal>
          <c:smooth val="0"/>
          <c:extLst>
            <c:ext xmlns:c16="http://schemas.microsoft.com/office/drawing/2014/chart" uri="{C3380CC4-5D6E-409C-BE32-E72D297353CC}">
              <c16:uniqueId val="{00000026-3B01-49BA-9B29-103C9BAD8BC7}"/>
            </c:ext>
          </c:extLst>
        </c:ser>
        <c:ser>
          <c:idx val="38"/>
          <c:order val="38"/>
          <c:tx>
            <c:v>F3</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Foglio1!$AJ$54</c:f>
              <c:numCache>
                <c:formatCode>General</c:formatCode>
                <c:ptCount val="1"/>
                <c:pt idx="0">
                  <c:v>1172</c:v>
                </c:pt>
              </c:numCache>
            </c:numRef>
          </c:xVal>
          <c:yVal>
            <c:numRef>
              <c:f>Foglio1!$AK$54</c:f>
              <c:numCache>
                <c:formatCode>General</c:formatCode>
                <c:ptCount val="1"/>
                <c:pt idx="0">
                  <c:v>24</c:v>
                </c:pt>
              </c:numCache>
            </c:numRef>
          </c:yVal>
          <c:smooth val="0"/>
          <c:extLst>
            <c:ext xmlns:c16="http://schemas.microsoft.com/office/drawing/2014/chart" uri="{C3380CC4-5D6E-409C-BE32-E72D297353CC}">
              <c16:uniqueId val="{00000027-3B01-49BA-9B29-103C9BAD8BC7}"/>
            </c:ext>
          </c:extLst>
        </c:ser>
        <c:ser>
          <c:idx val="39"/>
          <c:order val="39"/>
          <c:tx>
            <c:v>F4</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Foglio1!$AJ$55</c:f>
              <c:numCache>
                <c:formatCode>General</c:formatCode>
                <c:ptCount val="1"/>
                <c:pt idx="0">
                  <c:v>1172</c:v>
                </c:pt>
              </c:numCache>
            </c:numRef>
          </c:xVal>
          <c:yVal>
            <c:numRef>
              <c:f>Foglio1!$AK$55</c:f>
              <c:numCache>
                <c:formatCode>General</c:formatCode>
                <c:ptCount val="1"/>
                <c:pt idx="0">
                  <c:v>236</c:v>
                </c:pt>
              </c:numCache>
            </c:numRef>
          </c:yVal>
          <c:smooth val="0"/>
          <c:extLst>
            <c:ext xmlns:c16="http://schemas.microsoft.com/office/drawing/2014/chart" uri="{C3380CC4-5D6E-409C-BE32-E72D297353CC}">
              <c16:uniqueId val="{00000028-3B01-49BA-9B29-103C9BAD8BC7}"/>
            </c:ext>
          </c:extLst>
        </c:ser>
        <c:dLbls>
          <c:showLegendKey val="0"/>
          <c:showVal val="0"/>
          <c:showCatName val="0"/>
          <c:showSerName val="0"/>
          <c:showPercent val="0"/>
          <c:showBubbleSize val="0"/>
        </c:dLbls>
        <c:axId val="1450325407"/>
        <c:axId val="1450326847"/>
      </c:scatterChart>
      <c:valAx>
        <c:axId val="1450325407"/>
        <c:scaling>
          <c:orientation val="minMax"/>
        </c:scaling>
        <c:delete val="0"/>
        <c:axPos val="t"/>
        <c:majorGridlines>
          <c:spPr>
            <a:ln w="9525" cap="flat" cmpd="sng" algn="ctr">
              <a:noFill/>
              <a:round/>
            </a:ln>
            <a:effectLst/>
          </c:spPr>
        </c:majorGridlines>
        <c:numFmt formatCode="General" sourceLinked="1"/>
        <c:majorTickMark val="out"/>
        <c:minorTickMark val="none"/>
        <c:tickLblPos val="nextTo"/>
        <c:crossAx val="1450326847"/>
        <c:crossesAt val="0"/>
        <c:crossBetween val="midCat"/>
        <c:majorUnit val="250"/>
        <c:minorUnit val="50"/>
      </c:valAx>
      <c:valAx>
        <c:axId val="1450326847"/>
        <c:scaling>
          <c:orientation val="maxMin"/>
          <c:max val="300"/>
          <c:min val="0"/>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majorUnit val="40"/>
        <c:minorUnit val="20"/>
      </c:valAx>
    </c:plotArea>
    <c:plotVisOnly val="1"/>
    <c:dispBlanksAs val="gap"/>
    <c:showDLblsOverMax val="0"/>
    <c:extLst/>
  </c:chart>
  <c:spPr>
    <a:ln w="12700">
      <a:noFill/>
    </a:ln>
  </c:spPr>
  <c:txPr>
    <a:bodyPr/>
    <a:lstStyle/>
    <a:p>
      <a:pPr>
        <a:defRPr/>
      </a:pPr>
      <a:endParaRPr lang="it-I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it-IT" sz="1200"/>
              <a:t>Screws</a:t>
            </a:r>
            <a:r>
              <a:rPr lang="it-IT" sz="1200" baseline="0"/>
              <a:t> position in CLT</a:t>
            </a:r>
            <a:endParaRPr lang="it-IT"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scatterChart>
        <c:scatterStyle val="lineMarker"/>
        <c:varyColors val="0"/>
        <c:ser>
          <c:idx val="0"/>
          <c:order val="0"/>
          <c:tx>
            <c:v>L1</c:v>
          </c:tx>
          <c:spPr>
            <a:ln w="19050" cap="rnd">
              <a:solidFill>
                <a:schemeClr val="tx1"/>
              </a:solidFill>
              <a:round/>
            </a:ln>
            <a:effectLst/>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0-8E10-48B3-AC44-E7A7B6F842EB}"/>
            </c:ext>
          </c:extLst>
        </c:ser>
        <c:ser>
          <c:idx val="1"/>
          <c:order val="1"/>
          <c:tx>
            <c:v>L2</c:v>
          </c:tx>
          <c:spPr>
            <a:ln w="19050" cap="rnd">
              <a:solidFill>
                <a:schemeClr val="bg1">
                  <a:lumMod val="75000"/>
                </a:schemeClr>
              </a:solidFill>
              <a:round/>
            </a:ln>
            <a:effectLst/>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1-8E10-48B3-AC44-E7A7B6F842EB}"/>
            </c:ext>
          </c:extLst>
        </c:ser>
        <c:ser>
          <c:idx val="2"/>
          <c:order val="2"/>
          <c:tx>
            <c:v>L3</c:v>
          </c:tx>
          <c:spPr>
            <a:ln w="19050" cap="rnd">
              <a:solidFill>
                <a:schemeClr val="bg1">
                  <a:lumMod val="75000"/>
                </a:schemeClr>
              </a:solidFill>
              <a:round/>
            </a:ln>
            <a:effectLst/>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2-8E10-48B3-AC44-E7A7B6F842EB}"/>
            </c:ext>
          </c:extLst>
        </c:ser>
        <c:ser>
          <c:idx val="3"/>
          <c:order val="3"/>
          <c:tx>
            <c:v>L4</c:v>
          </c:tx>
          <c:spPr>
            <a:ln w="19050" cap="rnd">
              <a:solidFill>
                <a:schemeClr val="bg1">
                  <a:lumMod val="75000"/>
                </a:schemeClr>
              </a:solidFill>
              <a:round/>
            </a:ln>
            <a:effectLst/>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3-8E10-48B3-AC44-E7A7B6F842EB}"/>
            </c:ext>
          </c:extLst>
        </c:ser>
        <c:ser>
          <c:idx val="4"/>
          <c:order val="4"/>
          <c:tx>
            <c:v>L5</c:v>
          </c:tx>
          <c:spPr>
            <a:ln w="19050" cap="rnd">
              <a:solidFill>
                <a:schemeClr val="bg1">
                  <a:lumMod val="75000"/>
                </a:schemeClr>
              </a:solidFill>
              <a:round/>
            </a:ln>
            <a:effectLst/>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4-8E10-48B3-AC44-E7A7B6F842EB}"/>
            </c:ext>
          </c:extLst>
        </c:ser>
        <c:ser>
          <c:idx val="5"/>
          <c:order val="5"/>
          <c:tx>
            <c:v>L6</c:v>
          </c:tx>
          <c:spPr>
            <a:ln w="19050" cap="rnd">
              <a:solidFill>
                <a:schemeClr val="bg1">
                  <a:lumMod val="75000"/>
                </a:schemeClr>
              </a:solidFill>
              <a:round/>
            </a:ln>
            <a:effectLst/>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5-8E10-48B3-AC44-E7A7B6F842EB}"/>
            </c:ext>
          </c:extLst>
        </c:ser>
        <c:ser>
          <c:idx val="6"/>
          <c:order val="6"/>
          <c:tx>
            <c:v>L7</c:v>
          </c:tx>
          <c:spPr>
            <a:ln w="19050" cap="rnd">
              <a:solidFill>
                <a:schemeClr val="bg1">
                  <a:lumMod val="75000"/>
                </a:schemeClr>
              </a:solidFill>
              <a:round/>
            </a:ln>
            <a:effectLst/>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6-8E10-48B3-AC44-E7A7B6F842EB}"/>
            </c:ext>
          </c:extLst>
        </c:ser>
        <c:ser>
          <c:idx val="7"/>
          <c:order val="7"/>
          <c:tx>
            <c:v>L8</c:v>
          </c:tx>
          <c:spPr>
            <a:ln w="19050" cap="rnd">
              <a:solidFill>
                <a:schemeClr val="bg1">
                  <a:lumMod val="75000"/>
                </a:schemeClr>
              </a:solidFill>
              <a:round/>
            </a:ln>
            <a:effectLst/>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7-8E10-48B3-AC44-E7A7B6F842EB}"/>
            </c:ext>
          </c:extLst>
        </c:ser>
        <c:ser>
          <c:idx val="8"/>
          <c:order val="8"/>
          <c:tx>
            <c:v>L9</c:v>
          </c:tx>
          <c:spPr>
            <a:ln w="19050" cap="rnd">
              <a:solidFill>
                <a:schemeClr val="bg1">
                  <a:lumMod val="75000"/>
                </a:schemeClr>
              </a:solidFill>
              <a:round/>
            </a:ln>
            <a:effectLst/>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8-8E10-48B3-AC44-E7A7B6F842EB}"/>
            </c:ext>
          </c:extLst>
        </c:ser>
        <c:ser>
          <c:idx val="9"/>
          <c:order val="9"/>
          <c:tx>
            <c:v>L10</c:v>
          </c:tx>
          <c:spPr>
            <a:ln w="19050" cap="rnd">
              <a:solidFill>
                <a:schemeClr val="bg1">
                  <a:lumMod val="75000"/>
                </a:schemeClr>
              </a:solidFill>
              <a:round/>
            </a:ln>
            <a:effectLst/>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9-8E10-48B3-AC44-E7A7B6F842EB}"/>
            </c:ext>
          </c:extLst>
        </c:ser>
        <c:ser>
          <c:idx val="10"/>
          <c:order val="10"/>
          <c:tx>
            <c:v>L11</c:v>
          </c:tx>
          <c:spPr>
            <a:ln w="19050" cap="rnd">
              <a:solidFill>
                <a:schemeClr val="bg1">
                  <a:lumMod val="75000"/>
                </a:schemeClr>
              </a:solidFill>
              <a:round/>
            </a:ln>
            <a:effectLst/>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A-8E10-48B3-AC44-E7A7B6F842EB}"/>
            </c:ext>
          </c:extLst>
        </c:ser>
        <c:ser>
          <c:idx val="11"/>
          <c:order val="11"/>
          <c:tx>
            <c:v>LT</c:v>
          </c:tx>
          <c:spPr>
            <a:ln w="19050" cap="rnd">
              <a:solidFill>
                <a:sysClr val="windowText" lastClr="000000"/>
              </a:solidFill>
              <a:round/>
            </a:ln>
            <a:effectLst/>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B-8E10-48B3-AC44-E7A7B6F842EB}"/>
            </c:ext>
          </c:extLst>
        </c:ser>
        <c:ser>
          <c:idx val="12"/>
          <c:order val="12"/>
          <c:tx>
            <c:v>V1_S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Foglio1!$N$12</c:f>
              <c:numCache>
                <c:formatCode>General</c:formatCode>
                <c:ptCount val="1"/>
                <c:pt idx="0">
                  <c:v>50</c:v>
                </c:pt>
              </c:numCache>
            </c:numRef>
          </c:xVal>
          <c:yVal>
            <c:numRef>
              <c:f>Foglio1!$O$12</c:f>
              <c:numCache>
                <c:formatCode>General</c:formatCode>
                <c:ptCount val="1"/>
                <c:pt idx="0">
                  <c:v>45</c:v>
                </c:pt>
              </c:numCache>
            </c:numRef>
          </c:yVal>
          <c:smooth val="0"/>
          <c:extLst>
            <c:ext xmlns:c16="http://schemas.microsoft.com/office/drawing/2014/chart" uri="{C3380CC4-5D6E-409C-BE32-E72D297353CC}">
              <c16:uniqueId val="{0000000C-8E10-48B3-AC44-E7A7B6F842EB}"/>
            </c:ext>
          </c:extLst>
        </c:ser>
        <c:ser>
          <c:idx val="13"/>
          <c:order val="13"/>
          <c:tx>
            <c:v>V2_S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Foglio1!$N$13</c:f>
              <c:numCache>
                <c:formatCode>General</c:formatCode>
                <c:ptCount val="1"/>
                <c:pt idx="0">
                  <c:v>250</c:v>
                </c:pt>
              </c:numCache>
            </c:numRef>
          </c:xVal>
          <c:yVal>
            <c:numRef>
              <c:f>Foglio1!$O$13</c:f>
              <c:numCache>
                <c:formatCode>General</c:formatCode>
                <c:ptCount val="1"/>
                <c:pt idx="0">
                  <c:v>45</c:v>
                </c:pt>
              </c:numCache>
            </c:numRef>
          </c:yVal>
          <c:smooth val="0"/>
          <c:extLst>
            <c:ext xmlns:c16="http://schemas.microsoft.com/office/drawing/2014/chart" uri="{C3380CC4-5D6E-409C-BE32-E72D297353CC}">
              <c16:uniqueId val="{0000000D-8E10-48B3-AC44-E7A7B6F842EB}"/>
            </c:ext>
          </c:extLst>
        </c:ser>
        <c:ser>
          <c:idx val="14"/>
          <c:order val="14"/>
          <c:tx>
            <c:v>V3_S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Foglio1!$N$14</c:f>
              <c:numCache>
                <c:formatCode>General</c:formatCode>
                <c:ptCount val="1"/>
                <c:pt idx="0">
                  <c:v>450</c:v>
                </c:pt>
              </c:numCache>
            </c:numRef>
          </c:xVal>
          <c:yVal>
            <c:numRef>
              <c:f>Foglio1!$O$14</c:f>
              <c:numCache>
                <c:formatCode>General</c:formatCode>
                <c:ptCount val="1"/>
                <c:pt idx="0">
                  <c:v>45</c:v>
                </c:pt>
              </c:numCache>
            </c:numRef>
          </c:yVal>
          <c:smooth val="0"/>
          <c:extLst>
            <c:ext xmlns:c16="http://schemas.microsoft.com/office/drawing/2014/chart" uri="{C3380CC4-5D6E-409C-BE32-E72D297353CC}">
              <c16:uniqueId val="{0000000E-8E10-48B3-AC44-E7A7B6F842EB}"/>
            </c:ext>
          </c:extLst>
        </c:ser>
        <c:ser>
          <c:idx val="15"/>
          <c:order val="15"/>
          <c:tx>
            <c:v>V4_S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Foglio1!$N$15</c:f>
              <c:numCache>
                <c:formatCode>General</c:formatCode>
                <c:ptCount val="1"/>
                <c:pt idx="0">
                  <c:v>650</c:v>
                </c:pt>
              </c:numCache>
            </c:numRef>
          </c:xVal>
          <c:yVal>
            <c:numRef>
              <c:f>Foglio1!$O$15</c:f>
              <c:numCache>
                <c:formatCode>General</c:formatCode>
                <c:ptCount val="1"/>
                <c:pt idx="0">
                  <c:v>45</c:v>
                </c:pt>
              </c:numCache>
            </c:numRef>
          </c:yVal>
          <c:smooth val="0"/>
          <c:extLst>
            <c:ext xmlns:c16="http://schemas.microsoft.com/office/drawing/2014/chart" uri="{C3380CC4-5D6E-409C-BE32-E72D297353CC}">
              <c16:uniqueId val="{0000000F-8E10-48B3-AC44-E7A7B6F842EB}"/>
            </c:ext>
          </c:extLst>
        </c:ser>
        <c:ser>
          <c:idx val="16"/>
          <c:order val="16"/>
          <c:tx>
            <c:v>V5_S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Foglio1!$N$16</c:f>
              <c:numCache>
                <c:formatCode>General</c:formatCode>
                <c:ptCount val="1"/>
                <c:pt idx="0">
                  <c:v>850</c:v>
                </c:pt>
              </c:numCache>
            </c:numRef>
          </c:xVal>
          <c:yVal>
            <c:numRef>
              <c:f>Foglio1!$O$16</c:f>
              <c:numCache>
                <c:formatCode>General</c:formatCode>
                <c:ptCount val="1"/>
                <c:pt idx="0">
                  <c:v>45</c:v>
                </c:pt>
              </c:numCache>
            </c:numRef>
          </c:yVal>
          <c:smooth val="0"/>
          <c:extLst>
            <c:ext xmlns:c16="http://schemas.microsoft.com/office/drawing/2014/chart" uri="{C3380CC4-5D6E-409C-BE32-E72D297353CC}">
              <c16:uniqueId val="{00000010-8E10-48B3-AC44-E7A7B6F842EB}"/>
            </c:ext>
          </c:extLst>
        </c:ser>
        <c:ser>
          <c:idx val="17"/>
          <c:order val="17"/>
          <c:tx>
            <c:v>V6_S</c:v>
          </c:tx>
          <c:spPr>
            <a:ln w="19050"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numRef>
              <c:f>Foglio1!$N$17</c:f>
            </c:numRef>
          </c:xVal>
          <c:yVal>
            <c:numRef>
              <c:f>Foglio1!$O$17</c:f>
              <c:numCache>
                <c:formatCode>General</c:formatCode>
                <c:ptCount val="1"/>
                <c:pt idx="0">
                  <c:v>0</c:v>
                </c:pt>
              </c:numCache>
            </c:numRef>
          </c:yVal>
          <c:smooth val="0"/>
          <c:extLst>
            <c:ext xmlns:c16="http://schemas.microsoft.com/office/drawing/2014/chart" uri="{C3380CC4-5D6E-409C-BE32-E72D297353CC}">
              <c16:uniqueId val="{00000011-8E10-48B3-AC44-E7A7B6F842EB}"/>
            </c:ext>
          </c:extLst>
        </c:ser>
        <c:ser>
          <c:idx val="18"/>
          <c:order val="18"/>
          <c:tx>
            <c:v>V7_S</c:v>
          </c:tx>
          <c:spPr>
            <a:ln w="19050"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xVal>
            <c:numRef>
              <c:f>Foglio1!$N$18</c:f>
            </c:numRef>
          </c:xVal>
          <c:yVal>
            <c:numRef>
              <c:f>Foglio1!$O$18</c:f>
              <c:numCache>
                <c:formatCode>General</c:formatCode>
                <c:ptCount val="1"/>
                <c:pt idx="0">
                  <c:v>0</c:v>
                </c:pt>
              </c:numCache>
            </c:numRef>
          </c:yVal>
          <c:smooth val="0"/>
          <c:extLst>
            <c:ext xmlns:c16="http://schemas.microsoft.com/office/drawing/2014/chart" uri="{C3380CC4-5D6E-409C-BE32-E72D297353CC}">
              <c16:uniqueId val="{00000012-8E10-48B3-AC44-E7A7B6F842EB}"/>
            </c:ext>
          </c:extLst>
        </c:ser>
        <c:ser>
          <c:idx val="19"/>
          <c:order val="19"/>
          <c:tx>
            <c:v>V8_S</c:v>
          </c:tx>
          <c:spPr>
            <a:ln w="19050"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xVal>
            <c:numRef>
              <c:f>Foglio1!$N$19</c:f>
            </c:numRef>
          </c:xVal>
          <c:yVal>
            <c:numRef>
              <c:f>Foglio1!$O$19</c:f>
              <c:numCache>
                <c:formatCode>General</c:formatCode>
                <c:ptCount val="1"/>
                <c:pt idx="0">
                  <c:v>0</c:v>
                </c:pt>
              </c:numCache>
            </c:numRef>
          </c:yVal>
          <c:smooth val="0"/>
          <c:extLst>
            <c:ext xmlns:c16="http://schemas.microsoft.com/office/drawing/2014/chart" uri="{C3380CC4-5D6E-409C-BE32-E72D297353CC}">
              <c16:uniqueId val="{00000013-8E10-48B3-AC44-E7A7B6F842EB}"/>
            </c:ext>
          </c:extLst>
        </c:ser>
        <c:ser>
          <c:idx val="20"/>
          <c:order val="20"/>
          <c:tx>
            <c:v>V9_S</c:v>
          </c:tx>
          <c:spPr>
            <a:ln w="19050"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xVal>
            <c:numRef>
              <c:f>Foglio1!$N$20</c:f>
            </c:numRef>
          </c:xVal>
          <c:yVal>
            <c:numRef>
              <c:f>Foglio1!$O$20</c:f>
              <c:numCache>
                <c:formatCode>General</c:formatCode>
                <c:ptCount val="1"/>
                <c:pt idx="0">
                  <c:v>0</c:v>
                </c:pt>
              </c:numCache>
            </c:numRef>
          </c:yVal>
          <c:smooth val="0"/>
          <c:extLst>
            <c:ext xmlns:c16="http://schemas.microsoft.com/office/drawing/2014/chart" uri="{C3380CC4-5D6E-409C-BE32-E72D297353CC}">
              <c16:uniqueId val="{00000014-8E10-48B3-AC44-E7A7B6F842EB}"/>
            </c:ext>
          </c:extLst>
        </c:ser>
        <c:ser>
          <c:idx val="21"/>
          <c:order val="21"/>
          <c:tx>
            <c:v>V10_S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Foglio1!$N$21</c:f>
            </c:numRef>
          </c:xVal>
          <c:yVal>
            <c:numRef>
              <c:f>Foglio1!$O$21</c:f>
              <c:numCache>
                <c:formatCode>General</c:formatCode>
                <c:ptCount val="1"/>
                <c:pt idx="0">
                  <c:v>0</c:v>
                </c:pt>
              </c:numCache>
            </c:numRef>
          </c:yVal>
          <c:smooth val="0"/>
          <c:extLst>
            <c:ext xmlns:c16="http://schemas.microsoft.com/office/drawing/2014/chart" uri="{C3380CC4-5D6E-409C-BE32-E72D297353CC}">
              <c16:uniqueId val="{00000015-8E10-48B3-AC44-E7A7B6F842EB}"/>
            </c:ext>
          </c:extLst>
        </c:ser>
        <c:ser>
          <c:idx val="22"/>
          <c:order val="22"/>
          <c:tx>
            <c:v>V1_I</c:v>
          </c:tx>
          <c:spPr>
            <a:ln w="19050"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dPt>
            <c:idx val="0"/>
            <c:marker>
              <c:symbol val="circle"/>
              <c:size val="5"/>
              <c:spPr>
                <a:solidFill>
                  <a:srgbClr val="FF0000"/>
                </a:solidFill>
                <a:ln w="9525">
                  <a:solidFill>
                    <a:srgbClr val="FF0000"/>
                  </a:solidFill>
                </a:ln>
                <a:effectLst/>
              </c:spPr>
            </c:marker>
            <c:bubble3D val="0"/>
            <c:extLst>
              <c:ext xmlns:c16="http://schemas.microsoft.com/office/drawing/2014/chart" uri="{C3380CC4-5D6E-409C-BE32-E72D297353CC}">
                <c16:uniqueId val="{00000016-8E10-48B3-AC44-E7A7B6F842EB}"/>
              </c:ext>
            </c:extLst>
          </c:dPt>
          <c:xVal>
            <c:numRef>
              <c:f>Foglio1!$R$12</c:f>
              <c:numCache>
                <c:formatCode>General</c:formatCode>
                <c:ptCount val="1"/>
                <c:pt idx="0">
                  <c:v>100</c:v>
                </c:pt>
              </c:numCache>
            </c:numRef>
          </c:xVal>
          <c:yVal>
            <c:numRef>
              <c:f>Foglio1!$S$12</c:f>
              <c:numCache>
                <c:formatCode>General</c:formatCode>
                <c:ptCount val="1"/>
                <c:pt idx="0">
                  <c:v>215</c:v>
                </c:pt>
              </c:numCache>
            </c:numRef>
          </c:yVal>
          <c:smooth val="0"/>
          <c:extLst>
            <c:ext xmlns:c16="http://schemas.microsoft.com/office/drawing/2014/chart" uri="{C3380CC4-5D6E-409C-BE32-E72D297353CC}">
              <c16:uniqueId val="{00000017-8E10-48B3-AC44-E7A7B6F842EB}"/>
            </c:ext>
          </c:extLst>
        </c:ser>
        <c:ser>
          <c:idx val="23"/>
          <c:order val="23"/>
          <c:tx>
            <c:v>V2_I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Foglio1!$R$13</c:f>
              <c:numCache>
                <c:formatCode>General</c:formatCode>
                <c:ptCount val="1"/>
                <c:pt idx="0">
                  <c:v>300</c:v>
                </c:pt>
              </c:numCache>
            </c:numRef>
          </c:xVal>
          <c:yVal>
            <c:numRef>
              <c:f>Foglio1!$S$13</c:f>
              <c:numCache>
                <c:formatCode>General</c:formatCode>
                <c:ptCount val="1"/>
                <c:pt idx="0">
                  <c:v>215</c:v>
                </c:pt>
              </c:numCache>
            </c:numRef>
          </c:yVal>
          <c:smooth val="0"/>
          <c:extLst>
            <c:ext xmlns:c16="http://schemas.microsoft.com/office/drawing/2014/chart" uri="{C3380CC4-5D6E-409C-BE32-E72D297353CC}">
              <c16:uniqueId val="{00000018-8E10-48B3-AC44-E7A7B6F842EB}"/>
            </c:ext>
          </c:extLst>
        </c:ser>
        <c:ser>
          <c:idx val="24"/>
          <c:order val="24"/>
          <c:tx>
            <c:v>V3_I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Foglio1!$R$14</c:f>
              <c:numCache>
                <c:formatCode>General</c:formatCode>
                <c:ptCount val="1"/>
                <c:pt idx="0">
                  <c:v>500</c:v>
                </c:pt>
              </c:numCache>
            </c:numRef>
          </c:xVal>
          <c:yVal>
            <c:numRef>
              <c:f>Foglio1!$S$14</c:f>
              <c:numCache>
                <c:formatCode>General</c:formatCode>
                <c:ptCount val="1"/>
                <c:pt idx="0">
                  <c:v>215</c:v>
                </c:pt>
              </c:numCache>
            </c:numRef>
          </c:yVal>
          <c:smooth val="0"/>
          <c:extLst>
            <c:ext xmlns:c16="http://schemas.microsoft.com/office/drawing/2014/chart" uri="{C3380CC4-5D6E-409C-BE32-E72D297353CC}">
              <c16:uniqueId val="{00000019-8E10-48B3-AC44-E7A7B6F842EB}"/>
            </c:ext>
          </c:extLst>
        </c:ser>
        <c:ser>
          <c:idx val="25"/>
          <c:order val="25"/>
          <c:tx>
            <c:v>V4_I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Foglio1!$R$15</c:f>
              <c:numCache>
                <c:formatCode>General</c:formatCode>
                <c:ptCount val="1"/>
                <c:pt idx="0">
                  <c:v>700</c:v>
                </c:pt>
              </c:numCache>
            </c:numRef>
          </c:xVal>
          <c:yVal>
            <c:numRef>
              <c:f>Foglio1!$S$15</c:f>
              <c:numCache>
                <c:formatCode>General</c:formatCode>
                <c:ptCount val="1"/>
                <c:pt idx="0">
                  <c:v>215</c:v>
                </c:pt>
              </c:numCache>
            </c:numRef>
          </c:yVal>
          <c:smooth val="0"/>
          <c:extLst>
            <c:ext xmlns:c16="http://schemas.microsoft.com/office/drawing/2014/chart" uri="{C3380CC4-5D6E-409C-BE32-E72D297353CC}">
              <c16:uniqueId val="{0000001A-8E10-48B3-AC44-E7A7B6F842EB}"/>
            </c:ext>
          </c:extLst>
        </c:ser>
        <c:ser>
          <c:idx val="26"/>
          <c:order val="26"/>
          <c:tx>
            <c:v>V5_I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Foglio1!$R$16</c:f>
              <c:numCache>
                <c:formatCode>General</c:formatCode>
                <c:ptCount val="1"/>
                <c:pt idx="0">
                  <c:v>900</c:v>
                </c:pt>
              </c:numCache>
            </c:numRef>
          </c:xVal>
          <c:yVal>
            <c:numRef>
              <c:f>Foglio1!$S$16</c:f>
              <c:numCache>
                <c:formatCode>General</c:formatCode>
                <c:ptCount val="1"/>
                <c:pt idx="0">
                  <c:v>215</c:v>
                </c:pt>
              </c:numCache>
            </c:numRef>
          </c:yVal>
          <c:smooth val="0"/>
          <c:extLst>
            <c:ext xmlns:c16="http://schemas.microsoft.com/office/drawing/2014/chart" uri="{C3380CC4-5D6E-409C-BE32-E72D297353CC}">
              <c16:uniqueId val="{0000001B-8E10-48B3-AC44-E7A7B6F842EB}"/>
            </c:ext>
          </c:extLst>
        </c:ser>
        <c:dLbls>
          <c:showLegendKey val="0"/>
          <c:showVal val="0"/>
          <c:showCatName val="0"/>
          <c:showSerName val="0"/>
          <c:showPercent val="0"/>
          <c:showBubbleSize val="0"/>
        </c:dLbls>
        <c:axId val="1450325407"/>
        <c:axId val="1450326847"/>
      </c:scatterChart>
      <c:valAx>
        <c:axId val="1450325407"/>
        <c:scaling>
          <c:orientation val="minMax"/>
        </c:scaling>
        <c:delete val="1"/>
        <c:axPos val="t"/>
        <c:majorGridlines>
          <c:spPr>
            <a:ln w="9525" cap="flat" cmpd="sng" algn="ctr">
              <a:noFill/>
              <a:round/>
            </a:ln>
            <a:effectLst/>
          </c:spPr>
        </c:majorGridlines>
        <c:numFmt formatCode="General" sourceLinked="1"/>
        <c:majorTickMark val="none"/>
        <c:minorTickMark val="none"/>
        <c:tickLblPos val="nextTo"/>
        <c:crossAx val="1450326847"/>
        <c:crosses val="autoZero"/>
        <c:crossBetween val="midCat"/>
      </c:valAx>
      <c:valAx>
        <c:axId val="1450326847"/>
        <c:scaling>
          <c:orientation val="maxMin"/>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valAx>
      <c:spPr>
        <a:noFill/>
        <a:ln w="28575">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noFill/>
      <a:round/>
    </a:ln>
    <a:effectLst/>
  </c:spPr>
  <c:txPr>
    <a:bodyPr/>
    <a:lstStyle/>
    <a:p>
      <a:pPr>
        <a:defRPr/>
      </a:pPr>
      <a:endParaRPr lang="it-I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it-IT" sz="1200" b="0"/>
              <a:t>CLT</a:t>
            </a:r>
            <a:r>
              <a:rPr lang="it-IT" sz="1200" b="0" baseline="0"/>
              <a:t> external layers direction</a:t>
            </a:r>
            <a:endParaRPr lang="it-IT" sz="1200" b="0"/>
          </a:p>
        </c:rich>
      </c:tx>
      <c:overlay val="0"/>
    </c:title>
    <c:autoTitleDeleted val="0"/>
    <c:plotArea>
      <c:layout>
        <c:manualLayout>
          <c:layoutTarget val="inner"/>
          <c:xMode val="edge"/>
          <c:yMode val="edge"/>
          <c:x val="4.3153886067271892E-2"/>
          <c:y val="6.1459695993669787E-2"/>
          <c:w val="0.94725639827648855"/>
          <c:h val="0.90984086622469118"/>
        </c:manualLayout>
      </c:layout>
      <c:scatterChart>
        <c:scatterStyle val="lineMarker"/>
        <c:varyColors val="0"/>
        <c:ser>
          <c:idx val="24"/>
          <c:order val="0"/>
          <c:spPr>
            <a:ln w="25400">
              <a:solidFill>
                <a:schemeClr val="tx1"/>
              </a:solidFill>
            </a:ln>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68-742D-484B-8084-743C01B6E6F5}"/>
            </c:ext>
          </c:extLst>
        </c:ser>
        <c:ser>
          <c:idx val="25"/>
          <c:order val="1"/>
          <c:spPr>
            <a:ln w="25400">
              <a:solidFill>
                <a:schemeClr val="tx1"/>
              </a:solidFill>
            </a:ln>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69-742D-484B-8084-743C01B6E6F5}"/>
            </c:ext>
          </c:extLst>
        </c:ser>
        <c:ser>
          <c:idx val="26"/>
          <c:order val="2"/>
          <c:spPr>
            <a:ln w="25400">
              <a:solidFill>
                <a:schemeClr val="tx1"/>
              </a:solidFill>
            </a:ln>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6A-742D-484B-8084-743C01B6E6F5}"/>
            </c:ext>
          </c:extLst>
        </c:ser>
        <c:ser>
          <c:idx val="27"/>
          <c:order val="3"/>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6B-742D-484B-8084-743C01B6E6F5}"/>
            </c:ext>
          </c:extLst>
        </c:ser>
        <c:ser>
          <c:idx val="28"/>
          <c:order val="4"/>
          <c:tx>
            <c:v>L</c:v>
          </c:tx>
          <c:spPr>
            <a:ln>
              <a:solidFill>
                <a:srgbClr val="FF0000"/>
              </a:solidFill>
            </a:ln>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6C-742D-484B-8084-743C01B6E6F5}"/>
            </c:ext>
          </c:extLst>
        </c:ser>
        <c:ser>
          <c:idx val="29"/>
          <c:order val="5"/>
          <c:tx>
            <c:v>L</c:v>
          </c:tx>
          <c:spPr>
            <a:ln>
              <a:solidFill>
                <a:srgbClr val="FF0000"/>
              </a:solidFill>
            </a:ln>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6D-742D-484B-8084-743C01B6E6F5}"/>
            </c:ext>
          </c:extLst>
        </c:ser>
        <c:ser>
          <c:idx val="30"/>
          <c:order val="6"/>
          <c:spPr>
            <a:ln>
              <a:solidFill>
                <a:srgbClr val="00B0F0"/>
              </a:solidFill>
            </a:ln>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6E-742D-484B-8084-743C01B6E6F5}"/>
            </c:ext>
          </c:extLst>
        </c:ser>
        <c:ser>
          <c:idx val="31"/>
          <c:order val="7"/>
          <c:spPr>
            <a:ln>
              <a:solidFill>
                <a:srgbClr val="00B0F0"/>
              </a:solidFill>
            </a:ln>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6F-742D-484B-8084-743C01B6E6F5}"/>
            </c:ext>
          </c:extLst>
        </c:ser>
        <c:ser>
          <c:idx val="32"/>
          <c:order val="8"/>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70-742D-484B-8084-743C01B6E6F5}"/>
            </c:ext>
          </c:extLst>
        </c:ser>
        <c:ser>
          <c:idx val="33"/>
          <c:order val="9"/>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71-742D-484B-8084-743C01B6E6F5}"/>
            </c:ext>
          </c:extLst>
        </c:ser>
        <c:ser>
          <c:idx val="34"/>
          <c:order val="10"/>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72-742D-484B-8084-743C01B6E6F5}"/>
            </c:ext>
          </c:extLst>
        </c:ser>
        <c:ser>
          <c:idx val="35"/>
          <c:order val="11"/>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73-742D-484B-8084-743C01B6E6F5}"/>
            </c:ext>
          </c:extLst>
        </c:ser>
        <c:ser>
          <c:idx val="36"/>
          <c:order val="12"/>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74-742D-484B-8084-743C01B6E6F5}"/>
            </c:ext>
          </c:extLst>
        </c:ser>
        <c:ser>
          <c:idx val="37"/>
          <c:order val="13"/>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75-742D-484B-8084-743C01B6E6F5}"/>
            </c:ext>
          </c:extLst>
        </c:ser>
        <c:ser>
          <c:idx val="38"/>
          <c:order val="14"/>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76-742D-484B-8084-743C01B6E6F5}"/>
            </c:ext>
          </c:extLst>
        </c:ser>
        <c:ser>
          <c:idx val="39"/>
          <c:order val="15"/>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77-742D-484B-8084-743C01B6E6F5}"/>
            </c:ext>
          </c:extLst>
        </c:ser>
        <c:ser>
          <c:idx val="40"/>
          <c:order val="16"/>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78-742D-484B-8084-743C01B6E6F5}"/>
            </c:ext>
          </c:extLst>
        </c:ser>
        <c:ser>
          <c:idx val="41"/>
          <c:order val="17"/>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79-742D-484B-8084-743C01B6E6F5}"/>
            </c:ext>
          </c:extLst>
        </c:ser>
        <c:ser>
          <c:idx val="42"/>
          <c:order val="18"/>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7A-742D-484B-8084-743C01B6E6F5}"/>
            </c:ext>
          </c:extLst>
        </c:ser>
        <c:ser>
          <c:idx val="43"/>
          <c:order val="19"/>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7B-742D-484B-8084-743C01B6E6F5}"/>
            </c:ext>
          </c:extLst>
        </c:ser>
        <c:ser>
          <c:idx val="44"/>
          <c:order val="20"/>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7C-742D-484B-8084-743C01B6E6F5}"/>
            </c:ext>
          </c:extLst>
        </c:ser>
        <c:ser>
          <c:idx val="45"/>
          <c:order val="21"/>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7D-742D-484B-8084-743C01B6E6F5}"/>
            </c:ext>
          </c:extLst>
        </c:ser>
        <c:ser>
          <c:idx val="46"/>
          <c:order val="22"/>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7E-742D-484B-8084-743C01B6E6F5}"/>
            </c:ext>
          </c:extLst>
        </c:ser>
        <c:ser>
          <c:idx val="47"/>
          <c:order val="23"/>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7F-742D-484B-8084-743C01B6E6F5}"/>
            </c:ext>
          </c:extLst>
        </c:ser>
        <c:ser>
          <c:idx val="8"/>
          <c:order val="24"/>
          <c:spPr>
            <a:ln w="25400">
              <a:solidFill>
                <a:schemeClr val="tx1"/>
              </a:solidFill>
            </a:ln>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39-742D-484B-8084-743C01B6E6F5}"/>
            </c:ext>
          </c:extLst>
        </c:ser>
        <c:ser>
          <c:idx val="9"/>
          <c:order val="25"/>
          <c:spPr>
            <a:ln w="25400">
              <a:solidFill>
                <a:schemeClr val="tx1"/>
              </a:solidFill>
            </a:ln>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3B-742D-484B-8084-743C01B6E6F5}"/>
            </c:ext>
          </c:extLst>
        </c:ser>
        <c:ser>
          <c:idx val="10"/>
          <c:order val="26"/>
          <c:spPr>
            <a:ln w="25400">
              <a:solidFill>
                <a:schemeClr val="tx1"/>
              </a:solidFill>
            </a:ln>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3D-742D-484B-8084-743C01B6E6F5}"/>
            </c:ext>
          </c:extLst>
        </c:ser>
        <c:ser>
          <c:idx val="11"/>
          <c:order val="27"/>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3F-742D-484B-8084-743C01B6E6F5}"/>
            </c:ext>
          </c:extLst>
        </c:ser>
        <c:ser>
          <c:idx val="12"/>
          <c:order val="28"/>
          <c:tx>
            <c:v>L</c:v>
          </c:tx>
          <c:spPr>
            <a:ln>
              <a:solidFill>
                <a:srgbClr val="FF0000"/>
              </a:solidFill>
            </a:ln>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41-742D-484B-8084-743C01B6E6F5}"/>
            </c:ext>
          </c:extLst>
        </c:ser>
        <c:ser>
          <c:idx val="13"/>
          <c:order val="29"/>
          <c:tx>
            <c:v>L</c:v>
          </c:tx>
          <c:spPr>
            <a:ln>
              <a:solidFill>
                <a:srgbClr val="FF0000"/>
              </a:solidFill>
            </a:ln>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43-742D-484B-8084-743C01B6E6F5}"/>
            </c:ext>
          </c:extLst>
        </c:ser>
        <c:ser>
          <c:idx val="14"/>
          <c:order val="30"/>
          <c:spPr>
            <a:ln>
              <a:solidFill>
                <a:srgbClr val="00B0F0"/>
              </a:solidFill>
            </a:ln>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45-742D-484B-8084-743C01B6E6F5}"/>
            </c:ext>
          </c:extLst>
        </c:ser>
        <c:ser>
          <c:idx val="15"/>
          <c:order val="31"/>
          <c:spPr>
            <a:ln>
              <a:solidFill>
                <a:srgbClr val="00B0F0"/>
              </a:solidFill>
            </a:ln>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47-742D-484B-8084-743C01B6E6F5}"/>
            </c:ext>
          </c:extLst>
        </c:ser>
        <c:ser>
          <c:idx val="16"/>
          <c:order val="32"/>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49-742D-484B-8084-743C01B6E6F5}"/>
            </c:ext>
          </c:extLst>
        </c:ser>
        <c:ser>
          <c:idx val="17"/>
          <c:order val="33"/>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4B-742D-484B-8084-743C01B6E6F5}"/>
            </c:ext>
          </c:extLst>
        </c:ser>
        <c:ser>
          <c:idx val="18"/>
          <c:order val="34"/>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4D-742D-484B-8084-743C01B6E6F5}"/>
            </c:ext>
          </c:extLst>
        </c:ser>
        <c:ser>
          <c:idx val="19"/>
          <c:order val="35"/>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4F-742D-484B-8084-743C01B6E6F5}"/>
            </c:ext>
          </c:extLst>
        </c:ser>
        <c:ser>
          <c:idx val="20"/>
          <c:order val="36"/>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51-742D-484B-8084-743C01B6E6F5}"/>
            </c:ext>
          </c:extLst>
        </c:ser>
        <c:ser>
          <c:idx val="21"/>
          <c:order val="37"/>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53-742D-484B-8084-743C01B6E6F5}"/>
            </c:ext>
          </c:extLst>
        </c:ser>
        <c:ser>
          <c:idx val="22"/>
          <c:order val="38"/>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55-742D-484B-8084-743C01B6E6F5}"/>
            </c:ext>
          </c:extLst>
        </c:ser>
        <c:ser>
          <c:idx val="23"/>
          <c:order val="39"/>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57-742D-484B-8084-743C01B6E6F5}"/>
            </c:ext>
          </c:extLst>
        </c:ser>
        <c:ser>
          <c:idx val="0"/>
          <c:order val="40"/>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59-742D-484B-8084-743C01B6E6F5}"/>
            </c:ext>
          </c:extLst>
        </c:ser>
        <c:ser>
          <c:idx val="1"/>
          <c:order val="41"/>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5B-742D-484B-8084-743C01B6E6F5}"/>
            </c:ext>
          </c:extLst>
        </c:ser>
        <c:ser>
          <c:idx val="2"/>
          <c:order val="42"/>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5D-742D-484B-8084-743C01B6E6F5}"/>
            </c:ext>
          </c:extLst>
        </c:ser>
        <c:ser>
          <c:idx val="4"/>
          <c:order val="43"/>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5F-742D-484B-8084-743C01B6E6F5}"/>
            </c:ext>
          </c:extLst>
        </c:ser>
        <c:ser>
          <c:idx val="3"/>
          <c:order val="44"/>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61-742D-484B-8084-743C01B6E6F5}"/>
            </c:ext>
          </c:extLst>
        </c:ser>
        <c:ser>
          <c:idx val="5"/>
          <c:order val="45"/>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63-742D-484B-8084-743C01B6E6F5}"/>
            </c:ext>
          </c:extLst>
        </c:ser>
        <c:ser>
          <c:idx val="6"/>
          <c:order val="46"/>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65-742D-484B-8084-743C01B6E6F5}"/>
            </c:ext>
          </c:extLst>
        </c:ser>
        <c:ser>
          <c:idx val="7"/>
          <c:order val="47"/>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67-742D-484B-8084-743C01B6E6F5}"/>
            </c:ext>
          </c:extLst>
        </c:ser>
        <c:dLbls>
          <c:showLegendKey val="0"/>
          <c:showVal val="0"/>
          <c:showCatName val="0"/>
          <c:showSerName val="0"/>
          <c:showPercent val="0"/>
          <c:showBubbleSize val="0"/>
        </c:dLbls>
        <c:axId val="780359359"/>
        <c:axId val="780352159"/>
      </c:scatterChart>
      <c:valAx>
        <c:axId val="780359359"/>
        <c:scaling>
          <c:orientation val="minMax"/>
          <c:max val="2400"/>
          <c:min val="1.0000000000000002E-2"/>
        </c:scaling>
        <c:delete val="1"/>
        <c:axPos val="b"/>
        <c:numFmt formatCode="General" sourceLinked="1"/>
        <c:majorTickMark val="out"/>
        <c:minorTickMark val="none"/>
        <c:tickLblPos val="nextTo"/>
        <c:crossAx val="780352159"/>
        <c:crosses val="autoZero"/>
        <c:crossBetween val="midCat"/>
        <c:majorUnit val="250"/>
      </c:valAx>
      <c:valAx>
        <c:axId val="780352159"/>
        <c:scaling>
          <c:orientation val="minMax"/>
          <c:min val="-100"/>
        </c:scaling>
        <c:delete val="1"/>
        <c:axPos val="r"/>
        <c:numFmt formatCode="General" sourceLinked="1"/>
        <c:majorTickMark val="none"/>
        <c:minorTickMark val="none"/>
        <c:tickLblPos val="nextTo"/>
        <c:crossAx val="780359359"/>
        <c:crosses val="max"/>
        <c:crossBetween val="midCat"/>
      </c:valAx>
    </c:plotArea>
    <c:plotVisOnly val="1"/>
    <c:dispBlanksAs val="gap"/>
    <c:showDLblsOverMax val="0"/>
    <c:extLst/>
  </c:chart>
  <c:spPr>
    <a:solidFill>
      <a:schemeClr val="bg1"/>
    </a:solidFill>
    <a:ln w="28575" cap="flat" cmpd="sng" algn="ctr">
      <a:solidFill>
        <a:sysClr val="windowText" lastClr="000000"/>
      </a:solidFill>
      <a:round/>
    </a:ln>
    <a:effectLst/>
  </c:spPr>
  <c:txPr>
    <a:bodyPr/>
    <a:lstStyle/>
    <a:p>
      <a:pPr>
        <a:defRPr/>
      </a:pPr>
      <a:endParaRPr lang="it-IT"/>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it-IT" sz="1200" b="0"/>
              <a:t>System section</a:t>
            </a:r>
          </a:p>
        </c:rich>
      </c:tx>
      <c:overlay val="0"/>
    </c:title>
    <c:autoTitleDeleted val="0"/>
    <c:plotArea>
      <c:layout/>
      <c:scatterChart>
        <c:scatterStyle val="lineMarker"/>
        <c:varyColors val="0"/>
        <c:ser>
          <c:idx val="12"/>
          <c:order val="0"/>
          <c:tx>
            <c:v>L1</c:v>
          </c:tx>
          <c:spPr>
            <a:ln>
              <a:solidFill>
                <a:schemeClr val="tx1"/>
              </a:solidFill>
            </a:ln>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0-D086-4EC5-9062-AFA3743AA106}"/>
            </c:ext>
          </c:extLst>
        </c:ser>
        <c:ser>
          <c:idx val="13"/>
          <c:order val="1"/>
          <c:tx>
            <c:v>L2</c:v>
          </c:tx>
          <c:spPr>
            <a:ln>
              <a:solidFill>
                <a:schemeClr val="bg1">
                  <a:lumMod val="75000"/>
                </a:schemeClr>
              </a:solidFill>
            </a:ln>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1-D086-4EC5-9062-AFA3743AA106}"/>
            </c:ext>
          </c:extLst>
        </c:ser>
        <c:ser>
          <c:idx val="14"/>
          <c:order val="2"/>
          <c:tx>
            <c:v>L3</c:v>
          </c:tx>
          <c:spPr>
            <a:ln>
              <a:solidFill>
                <a:schemeClr val="bg1">
                  <a:lumMod val="75000"/>
                </a:schemeClr>
              </a:solidFill>
            </a:ln>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2-D086-4EC5-9062-AFA3743AA106}"/>
            </c:ext>
          </c:extLst>
        </c:ser>
        <c:ser>
          <c:idx val="15"/>
          <c:order val="3"/>
          <c:tx>
            <c:v>L4</c:v>
          </c:tx>
          <c:spPr>
            <a:ln>
              <a:solidFill>
                <a:schemeClr val="bg1">
                  <a:lumMod val="75000"/>
                </a:schemeClr>
              </a:solidFill>
            </a:ln>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3-D086-4EC5-9062-AFA3743AA106}"/>
            </c:ext>
          </c:extLst>
        </c:ser>
        <c:ser>
          <c:idx val="16"/>
          <c:order val="4"/>
          <c:tx>
            <c:v>L5</c:v>
          </c:tx>
          <c:spPr>
            <a:ln>
              <a:solidFill>
                <a:schemeClr val="bg1">
                  <a:lumMod val="75000"/>
                </a:schemeClr>
              </a:solidFill>
            </a:ln>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4-D086-4EC5-9062-AFA3743AA106}"/>
            </c:ext>
          </c:extLst>
        </c:ser>
        <c:ser>
          <c:idx val="17"/>
          <c:order val="5"/>
          <c:tx>
            <c:v>L6</c:v>
          </c:tx>
          <c:spPr>
            <a:ln>
              <a:solidFill>
                <a:schemeClr val="bg1">
                  <a:lumMod val="75000"/>
                </a:schemeClr>
              </a:solidFill>
            </a:ln>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5-D086-4EC5-9062-AFA3743AA106}"/>
            </c:ext>
          </c:extLst>
        </c:ser>
        <c:ser>
          <c:idx val="18"/>
          <c:order val="6"/>
          <c:tx>
            <c:v>L7</c:v>
          </c:tx>
          <c:spPr>
            <a:ln>
              <a:solidFill>
                <a:schemeClr val="bg1">
                  <a:lumMod val="75000"/>
                </a:schemeClr>
              </a:solidFill>
            </a:ln>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6-D086-4EC5-9062-AFA3743AA106}"/>
            </c:ext>
          </c:extLst>
        </c:ser>
        <c:ser>
          <c:idx val="19"/>
          <c:order val="7"/>
          <c:tx>
            <c:v>L8</c:v>
          </c:tx>
          <c:spPr>
            <a:ln>
              <a:solidFill>
                <a:schemeClr val="bg1">
                  <a:lumMod val="75000"/>
                </a:schemeClr>
              </a:solidFill>
            </a:ln>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7-D086-4EC5-9062-AFA3743AA106}"/>
            </c:ext>
          </c:extLst>
        </c:ser>
        <c:ser>
          <c:idx val="20"/>
          <c:order val="8"/>
          <c:tx>
            <c:v>L9</c:v>
          </c:tx>
          <c:spPr>
            <a:ln>
              <a:solidFill>
                <a:schemeClr val="bg1">
                  <a:lumMod val="75000"/>
                </a:schemeClr>
              </a:solidFill>
            </a:ln>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8-D086-4EC5-9062-AFA3743AA106}"/>
            </c:ext>
          </c:extLst>
        </c:ser>
        <c:ser>
          <c:idx val="21"/>
          <c:order val="9"/>
          <c:tx>
            <c:v>L10</c:v>
          </c:tx>
          <c:spPr>
            <a:ln>
              <a:solidFill>
                <a:schemeClr val="bg1">
                  <a:lumMod val="75000"/>
                </a:schemeClr>
              </a:solidFill>
            </a:ln>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9-D086-4EC5-9062-AFA3743AA106}"/>
            </c:ext>
          </c:extLst>
        </c:ser>
        <c:ser>
          <c:idx val="22"/>
          <c:order val="10"/>
          <c:tx>
            <c:v>L11</c:v>
          </c:tx>
          <c:spPr>
            <a:ln>
              <a:solidFill>
                <a:schemeClr val="bg1">
                  <a:lumMod val="75000"/>
                </a:schemeClr>
              </a:solidFill>
            </a:ln>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A-D086-4EC5-9062-AFA3743AA106}"/>
            </c:ext>
          </c:extLst>
        </c:ser>
        <c:ser>
          <c:idx val="23"/>
          <c:order val="11"/>
          <c:tx>
            <c:v>LT</c:v>
          </c:tx>
          <c:spPr>
            <a:ln>
              <a:solidFill>
                <a:sysClr val="windowText" lastClr="000000"/>
              </a:solidFill>
            </a:ln>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B-D086-4EC5-9062-AFA3743AA106}"/>
            </c:ext>
          </c:extLst>
        </c:ser>
        <c:ser>
          <c:idx val="0"/>
          <c:order val="12"/>
          <c:spPr>
            <a:ln w="19050" cap="rnd">
              <a:solidFill>
                <a:schemeClr val="tx1"/>
              </a:solidFill>
              <a:round/>
            </a:ln>
            <a:effectLst/>
          </c:spPr>
          <c:marker>
            <c:symbol val="none"/>
          </c:marker>
          <c:xVal>
            <c:numRef>
              <c:f>Foglio1!$L$39:$L$40</c:f>
              <c:numCache>
                <c:formatCode>General</c:formatCode>
                <c:ptCount val="2"/>
                <c:pt idx="0">
                  <c:v>1200</c:v>
                </c:pt>
                <c:pt idx="1">
                  <c:v>2200</c:v>
                </c:pt>
              </c:numCache>
            </c:numRef>
          </c:xVal>
          <c:yVal>
            <c:numRef>
              <c:f>Foglio1!$M$39:$M$40</c:f>
              <c:numCache>
                <c:formatCode>General</c:formatCode>
                <c:ptCount val="2"/>
                <c:pt idx="0">
                  <c:v>0</c:v>
                </c:pt>
                <c:pt idx="1">
                  <c:v>0</c:v>
                </c:pt>
              </c:numCache>
            </c:numRef>
          </c:yVal>
          <c:smooth val="0"/>
          <c:extLst>
            <c:ext xmlns:c16="http://schemas.microsoft.com/office/drawing/2014/chart" uri="{C3380CC4-5D6E-409C-BE32-E72D297353CC}">
              <c16:uniqueId val="{0000000C-D086-4EC5-9062-AFA3743AA106}"/>
            </c:ext>
          </c:extLst>
        </c:ser>
        <c:ser>
          <c:idx val="1"/>
          <c:order val="13"/>
          <c:spPr>
            <a:ln w="19050" cap="rnd">
              <a:solidFill>
                <a:schemeClr val="bg1">
                  <a:lumMod val="75000"/>
                </a:schemeClr>
              </a:solidFill>
              <a:round/>
            </a:ln>
            <a:effectLst/>
          </c:spPr>
          <c:marker>
            <c:symbol val="none"/>
          </c:marker>
          <c:xVal>
            <c:numRef>
              <c:f>Foglio1!$L$41:$L$42</c:f>
              <c:numCache>
                <c:formatCode>General</c:formatCode>
                <c:ptCount val="2"/>
                <c:pt idx="0">
                  <c:v>1200</c:v>
                </c:pt>
                <c:pt idx="1">
                  <c:v>2200</c:v>
                </c:pt>
              </c:numCache>
            </c:numRef>
          </c:xVal>
          <c:yVal>
            <c:numRef>
              <c:f>Foglio1!$M$41:$M$42</c:f>
              <c:numCache>
                <c:formatCode>General</c:formatCode>
                <c:ptCount val="2"/>
                <c:pt idx="0">
                  <c:v>40</c:v>
                </c:pt>
                <c:pt idx="1">
                  <c:v>40</c:v>
                </c:pt>
              </c:numCache>
            </c:numRef>
          </c:yVal>
          <c:smooth val="0"/>
          <c:extLst>
            <c:ext xmlns:c16="http://schemas.microsoft.com/office/drawing/2014/chart" uri="{C3380CC4-5D6E-409C-BE32-E72D297353CC}">
              <c16:uniqueId val="{0000000D-D086-4EC5-9062-AFA3743AA106}"/>
            </c:ext>
          </c:extLst>
        </c:ser>
        <c:ser>
          <c:idx val="2"/>
          <c:order val="14"/>
          <c:spPr>
            <a:ln w="19050" cap="rnd">
              <a:solidFill>
                <a:schemeClr val="bg1">
                  <a:lumMod val="75000"/>
                </a:schemeClr>
              </a:solidFill>
              <a:round/>
            </a:ln>
            <a:effectLst/>
          </c:spPr>
          <c:marker>
            <c:symbol val="none"/>
          </c:marker>
          <c:xVal>
            <c:numRef>
              <c:f>Foglio1!$L$43:$L$44</c:f>
              <c:numCache>
                <c:formatCode>General</c:formatCode>
                <c:ptCount val="2"/>
                <c:pt idx="0">
                  <c:v>1200</c:v>
                </c:pt>
                <c:pt idx="1">
                  <c:v>2200</c:v>
                </c:pt>
              </c:numCache>
            </c:numRef>
          </c:xVal>
          <c:yVal>
            <c:numRef>
              <c:f>Foglio1!$M$43:$M$44</c:f>
              <c:numCache>
                <c:formatCode>General</c:formatCode>
                <c:ptCount val="2"/>
                <c:pt idx="0">
                  <c:v>80</c:v>
                </c:pt>
                <c:pt idx="1">
                  <c:v>80</c:v>
                </c:pt>
              </c:numCache>
            </c:numRef>
          </c:yVal>
          <c:smooth val="0"/>
          <c:extLst>
            <c:ext xmlns:c16="http://schemas.microsoft.com/office/drawing/2014/chart" uri="{C3380CC4-5D6E-409C-BE32-E72D297353CC}">
              <c16:uniqueId val="{0000000E-D086-4EC5-9062-AFA3743AA106}"/>
            </c:ext>
          </c:extLst>
        </c:ser>
        <c:ser>
          <c:idx val="3"/>
          <c:order val="15"/>
          <c:spPr>
            <a:ln w="19050" cap="rnd">
              <a:solidFill>
                <a:schemeClr val="bg1">
                  <a:lumMod val="75000"/>
                </a:schemeClr>
              </a:solidFill>
              <a:round/>
            </a:ln>
            <a:effectLst/>
          </c:spPr>
          <c:marker>
            <c:symbol val="none"/>
          </c:marker>
          <c:xVal>
            <c:numRef>
              <c:f>Foglio1!$L$45:$L$46</c:f>
              <c:numCache>
                <c:formatCode>General</c:formatCode>
                <c:ptCount val="2"/>
                <c:pt idx="0">
                  <c:v>1200</c:v>
                </c:pt>
                <c:pt idx="1">
                  <c:v>2200</c:v>
                </c:pt>
              </c:numCache>
            </c:numRef>
          </c:xVal>
          <c:yVal>
            <c:numRef>
              <c:f>Foglio1!$M$45:$M$46</c:f>
              <c:numCache>
                <c:formatCode>General</c:formatCode>
                <c:ptCount val="2"/>
                <c:pt idx="0">
                  <c:v>110</c:v>
                </c:pt>
                <c:pt idx="1">
                  <c:v>110</c:v>
                </c:pt>
              </c:numCache>
            </c:numRef>
          </c:yVal>
          <c:smooth val="0"/>
          <c:extLst>
            <c:ext xmlns:c16="http://schemas.microsoft.com/office/drawing/2014/chart" uri="{C3380CC4-5D6E-409C-BE32-E72D297353CC}">
              <c16:uniqueId val="{0000000F-D086-4EC5-9062-AFA3743AA106}"/>
            </c:ext>
          </c:extLst>
        </c:ser>
        <c:ser>
          <c:idx val="4"/>
          <c:order val="16"/>
          <c:spPr>
            <a:ln w="19050" cap="rnd">
              <a:solidFill>
                <a:schemeClr val="bg1">
                  <a:lumMod val="75000"/>
                </a:schemeClr>
              </a:solidFill>
              <a:round/>
            </a:ln>
            <a:effectLst/>
          </c:spPr>
          <c:marker>
            <c:symbol val="none"/>
          </c:marker>
          <c:xVal>
            <c:numRef>
              <c:f>Foglio1!$L$47:$L$48</c:f>
              <c:numCache>
                <c:formatCode>General</c:formatCode>
                <c:ptCount val="2"/>
                <c:pt idx="0">
                  <c:v>1200</c:v>
                </c:pt>
                <c:pt idx="1">
                  <c:v>2200</c:v>
                </c:pt>
              </c:numCache>
            </c:numRef>
          </c:xVal>
          <c:yVal>
            <c:numRef>
              <c:f>Foglio1!$M$47:$M$48</c:f>
              <c:numCache>
                <c:formatCode>General</c:formatCode>
                <c:ptCount val="2"/>
                <c:pt idx="0">
                  <c:v>150</c:v>
                </c:pt>
                <c:pt idx="1">
                  <c:v>150</c:v>
                </c:pt>
              </c:numCache>
            </c:numRef>
          </c:yVal>
          <c:smooth val="0"/>
          <c:extLst>
            <c:ext xmlns:c16="http://schemas.microsoft.com/office/drawing/2014/chart" uri="{C3380CC4-5D6E-409C-BE32-E72D297353CC}">
              <c16:uniqueId val="{00000010-D086-4EC5-9062-AFA3743AA106}"/>
            </c:ext>
          </c:extLst>
        </c:ser>
        <c:ser>
          <c:idx val="5"/>
          <c:order val="17"/>
          <c:spPr>
            <a:ln w="19050" cap="rnd">
              <a:solidFill>
                <a:schemeClr val="bg1">
                  <a:lumMod val="75000"/>
                </a:schemeClr>
              </a:solidFill>
              <a:round/>
            </a:ln>
            <a:effectLst/>
          </c:spPr>
          <c:marker>
            <c:symbol val="none"/>
          </c:marker>
          <c:xVal>
            <c:numRef>
              <c:f>Foglio1!$L$49:$L$50</c:f>
              <c:numCache>
                <c:formatCode>General</c:formatCode>
                <c:ptCount val="2"/>
                <c:pt idx="0">
                  <c:v>1200</c:v>
                </c:pt>
                <c:pt idx="1">
                  <c:v>2200</c:v>
                </c:pt>
              </c:numCache>
            </c:numRef>
          </c:xVal>
          <c:yVal>
            <c:numRef>
              <c:f>Foglio1!$M$49:$M$50</c:f>
              <c:numCache>
                <c:formatCode>General</c:formatCode>
                <c:ptCount val="2"/>
                <c:pt idx="0">
                  <c:v>180</c:v>
                </c:pt>
                <c:pt idx="1">
                  <c:v>180</c:v>
                </c:pt>
              </c:numCache>
            </c:numRef>
          </c:yVal>
          <c:smooth val="0"/>
          <c:extLst>
            <c:ext xmlns:c16="http://schemas.microsoft.com/office/drawing/2014/chart" uri="{C3380CC4-5D6E-409C-BE32-E72D297353CC}">
              <c16:uniqueId val="{00000011-D086-4EC5-9062-AFA3743AA106}"/>
            </c:ext>
          </c:extLst>
        </c:ser>
        <c:ser>
          <c:idx val="6"/>
          <c:order val="18"/>
          <c:spPr>
            <a:ln w="19050" cap="rnd">
              <a:solidFill>
                <a:schemeClr val="bg1">
                  <a:lumMod val="75000"/>
                </a:schemeClr>
              </a:solidFill>
              <a:round/>
            </a:ln>
            <a:effectLst/>
          </c:spPr>
          <c:marker>
            <c:symbol val="none"/>
          </c:marker>
          <c:xVal>
            <c:numRef>
              <c:f>Foglio1!$L$51:$L$52</c:f>
              <c:numCache>
                <c:formatCode>General</c:formatCode>
                <c:ptCount val="2"/>
                <c:pt idx="0">
                  <c:v>1200</c:v>
                </c:pt>
                <c:pt idx="1">
                  <c:v>2200</c:v>
                </c:pt>
              </c:numCache>
            </c:numRef>
          </c:xVal>
          <c:yVal>
            <c:numRef>
              <c:f>Foglio1!$M$51:$M$52</c:f>
              <c:numCache>
                <c:formatCode>General</c:formatCode>
                <c:ptCount val="2"/>
                <c:pt idx="0">
                  <c:v>220</c:v>
                </c:pt>
                <c:pt idx="1">
                  <c:v>220</c:v>
                </c:pt>
              </c:numCache>
            </c:numRef>
          </c:yVal>
          <c:smooth val="0"/>
          <c:extLst>
            <c:ext xmlns:c16="http://schemas.microsoft.com/office/drawing/2014/chart" uri="{C3380CC4-5D6E-409C-BE32-E72D297353CC}">
              <c16:uniqueId val="{00000012-D086-4EC5-9062-AFA3743AA106}"/>
            </c:ext>
          </c:extLst>
        </c:ser>
        <c:ser>
          <c:idx val="7"/>
          <c:order val="19"/>
          <c:spPr>
            <a:ln w="19050" cap="rnd">
              <a:solidFill>
                <a:schemeClr val="bg1">
                  <a:lumMod val="75000"/>
                </a:schemeClr>
              </a:solidFill>
              <a:round/>
            </a:ln>
            <a:effectLst/>
          </c:spPr>
          <c:marker>
            <c:symbol val="none"/>
          </c:marker>
          <c:xVal>
            <c:numRef>
              <c:f>Foglio1!$L$53:$L$54</c:f>
              <c:numCache>
                <c:formatCode>General</c:formatCode>
                <c:ptCount val="2"/>
                <c:pt idx="0">
                  <c:v>1200</c:v>
                </c:pt>
                <c:pt idx="1">
                  <c:v>1200</c:v>
                </c:pt>
              </c:numCache>
            </c:numRef>
          </c:xVal>
          <c:yVal>
            <c:numRef>
              <c:f>Foglio1!$M$53:$M$54</c:f>
              <c:numCache>
                <c:formatCode>General</c:formatCode>
                <c:ptCount val="2"/>
                <c:pt idx="0">
                  <c:v>260</c:v>
                </c:pt>
                <c:pt idx="1">
                  <c:v>260</c:v>
                </c:pt>
              </c:numCache>
            </c:numRef>
          </c:yVal>
          <c:smooth val="0"/>
          <c:extLst>
            <c:ext xmlns:c16="http://schemas.microsoft.com/office/drawing/2014/chart" uri="{C3380CC4-5D6E-409C-BE32-E72D297353CC}">
              <c16:uniqueId val="{00000013-D086-4EC5-9062-AFA3743AA106}"/>
            </c:ext>
          </c:extLst>
        </c:ser>
        <c:ser>
          <c:idx val="8"/>
          <c:order val="20"/>
          <c:spPr>
            <a:ln w="19050" cap="rnd">
              <a:solidFill>
                <a:schemeClr val="bg1">
                  <a:lumMod val="75000"/>
                </a:schemeClr>
              </a:solidFill>
              <a:round/>
            </a:ln>
            <a:effectLst/>
          </c:spPr>
          <c:marker>
            <c:symbol val="none"/>
          </c:marker>
          <c:xVal>
            <c:numRef>
              <c:f>Foglio1!$L$55:$L$56</c:f>
              <c:numCache>
                <c:formatCode>General</c:formatCode>
                <c:ptCount val="2"/>
                <c:pt idx="0">
                  <c:v>1200</c:v>
                </c:pt>
                <c:pt idx="1">
                  <c:v>1200</c:v>
                </c:pt>
              </c:numCache>
            </c:numRef>
          </c:xVal>
          <c:yVal>
            <c:numRef>
              <c:f>Foglio1!$M$55:$M$56</c:f>
              <c:numCache>
                <c:formatCode>General</c:formatCode>
                <c:ptCount val="2"/>
                <c:pt idx="0">
                  <c:v>0</c:v>
                </c:pt>
                <c:pt idx="1">
                  <c:v>0</c:v>
                </c:pt>
              </c:numCache>
            </c:numRef>
          </c:yVal>
          <c:smooth val="0"/>
          <c:extLst>
            <c:ext xmlns:c16="http://schemas.microsoft.com/office/drawing/2014/chart" uri="{C3380CC4-5D6E-409C-BE32-E72D297353CC}">
              <c16:uniqueId val="{00000014-D086-4EC5-9062-AFA3743AA106}"/>
            </c:ext>
          </c:extLst>
        </c:ser>
        <c:ser>
          <c:idx val="9"/>
          <c:order val="21"/>
          <c:spPr>
            <a:ln w="19050" cap="rnd">
              <a:solidFill>
                <a:schemeClr val="bg1">
                  <a:lumMod val="75000"/>
                </a:schemeClr>
              </a:solidFill>
              <a:round/>
            </a:ln>
            <a:effectLst/>
          </c:spPr>
          <c:marker>
            <c:symbol val="none"/>
          </c:marker>
          <c:xVal>
            <c:numRef>
              <c:f>Foglio1!$L$57:$L$58</c:f>
              <c:numCache>
                <c:formatCode>General</c:formatCode>
                <c:ptCount val="2"/>
                <c:pt idx="0">
                  <c:v>1200</c:v>
                </c:pt>
                <c:pt idx="1">
                  <c:v>1200</c:v>
                </c:pt>
              </c:numCache>
            </c:numRef>
          </c:xVal>
          <c:yVal>
            <c:numRef>
              <c:f>Foglio1!$M$57:$M$58</c:f>
              <c:numCache>
                <c:formatCode>General</c:formatCode>
                <c:ptCount val="2"/>
                <c:pt idx="0">
                  <c:v>0</c:v>
                </c:pt>
                <c:pt idx="1">
                  <c:v>0</c:v>
                </c:pt>
              </c:numCache>
            </c:numRef>
          </c:yVal>
          <c:smooth val="0"/>
          <c:extLst>
            <c:ext xmlns:c16="http://schemas.microsoft.com/office/drawing/2014/chart" uri="{C3380CC4-5D6E-409C-BE32-E72D297353CC}">
              <c16:uniqueId val="{00000015-D086-4EC5-9062-AFA3743AA106}"/>
            </c:ext>
          </c:extLst>
        </c:ser>
        <c:ser>
          <c:idx val="10"/>
          <c:order val="22"/>
          <c:spPr>
            <a:ln w="19050" cap="rnd">
              <a:solidFill>
                <a:schemeClr val="bg1">
                  <a:lumMod val="75000"/>
                </a:schemeClr>
              </a:solidFill>
              <a:round/>
            </a:ln>
            <a:effectLst/>
          </c:spPr>
          <c:marker>
            <c:symbol val="none"/>
          </c:marker>
          <c:xVal>
            <c:numRef>
              <c:f>Foglio1!$L$59:$L$60</c:f>
              <c:numCache>
                <c:formatCode>General</c:formatCode>
                <c:ptCount val="2"/>
                <c:pt idx="0">
                  <c:v>1200</c:v>
                </c:pt>
                <c:pt idx="1">
                  <c:v>1200</c:v>
                </c:pt>
              </c:numCache>
            </c:numRef>
          </c:xVal>
          <c:yVal>
            <c:numRef>
              <c:f>Foglio1!$M$59:$M$60</c:f>
              <c:numCache>
                <c:formatCode>General</c:formatCode>
                <c:ptCount val="2"/>
                <c:pt idx="0">
                  <c:v>0</c:v>
                </c:pt>
                <c:pt idx="1">
                  <c:v>0</c:v>
                </c:pt>
              </c:numCache>
            </c:numRef>
          </c:yVal>
          <c:smooth val="0"/>
          <c:extLst>
            <c:ext xmlns:c16="http://schemas.microsoft.com/office/drawing/2014/chart" uri="{C3380CC4-5D6E-409C-BE32-E72D297353CC}">
              <c16:uniqueId val="{00000016-D086-4EC5-9062-AFA3743AA106}"/>
            </c:ext>
          </c:extLst>
        </c:ser>
        <c:ser>
          <c:idx val="11"/>
          <c:order val="23"/>
          <c:spPr>
            <a:ln w="19050" cap="rnd">
              <a:solidFill>
                <a:sysClr val="windowText" lastClr="000000"/>
              </a:solidFill>
              <a:round/>
            </a:ln>
            <a:effectLst/>
          </c:spPr>
          <c:marker>
            <c:symbol val="none"/>
          </c:marker>
          <c:xVal>
            <c:numRef>
              <c:f>Foglio1!$L$61:$L$62</c:f>
              <c:numCache>
                <c:formatCode>General</c:formatCode>
                <c:ptCount val="2"/>
                <c:pt idx="0">
                  <c:v>1200</c:v>
                </c:pt>
                <c:pt idx="1">
                  <c:v>2200</c:v>
                </c:pt>
              </c:numCache>
            </c:numRef>
          </c:xVal>
          <c:yVal>
            <c:numRef>
              <c:f>Foglio1!$M$61:$M$62</c:f>
              <c:numCache>
                <c:formatCode>General</c:formatCode>
                <c:ptCount val="2"/>
                <c:pt idx="0">
                  <c:v>260</c:v>
                </c:pt>
                <c:pt idx="1">
                  <c:v>260</c:v>
                </c:pt>
              </c:numCache>
            </c:numRef>
          </c:yVal>
          <c:smooth val="0"/>
          <c:extLst>
            <c:ext xmlns:c16="http://schemas.microsoft.com/office/drawing/2014/chart" uri="{C3380CC4-5D6E-409C-BE32-E72D297353CC}">
              <c16:uniqueId val="{00000017-D086-4EC5-9062-AFA3743AA106}"/>
            </c:ext>
          </c:extLst>
        </c:ser>
        <c:ser>
          <c:idx val="24"/>
          <c:order val="24"/>
          <c:tx>
            <c:v>v1</c:v>
          </c:tx>
          <c:spPr>
            <a:ln>
              <a:solidFill>
                <a:schemeClr val="tx1"/>
              </a:solidFill>
            </a:ln>
          </c:spPr>
          <c:marker>
            <c:symbol val="none"/>
          </c:marker>
          <c:xVal>
            <c:numRef>
              <c:f>Foglio1!$I$65:$I$66</c:f>
              <c:numCache>
                <c:formatCode>General</c:formatCode>
                <c:ptCount val="2"/>
                <c:pt idx="0">
                  <c:v>1000</c:v>
                </c:pt>
                <c:pt idx="1">
                  <c:v>1000</c:v>
                </c:pt>
              </c:numCache>
            </c:numRef>
          </c:xVal>
          <c:yVal>
            <c:numRef>
              <c:f>Foglio1!$J$65:$J$66</c:f>
              <c:numCache>
                <c:formatCode>General</c:formatCode>
                <c:ptCount val="2"/>
                <c:pt idx="0">
                  <c:v>0</c:v>
                </c:pt>
                <c:pt idx="1">
                  <c:v>260</c:v>
                </c:pt>
              </c:numCache>
            </c:numRef>
          </c:yVal>
          <c:smooth val="0"/>
          <c:extLst>
            <c:ext xmlns:c16="http://schemas.microsoft.com/office/drawing/2014/chart" uri="{C3380CC4-5D6E-409C-BE32-E72D297353CC}">
              <c16:uniqueId val="{00000018-D086-4EC5-9062-AFA3743AA106}"/>
            </c:ext>
          </c:extLst>
        </c:ser>
        <c:ser>
          <c:idx val="25"/>
          <c:order val="25"/>
          <c:tx>
            <c:v>V2</c:v>
          </c:tx>
          <c:spPr>
            <a:ln>
              <a:solidFill>
                <a:schemeClr val="tx1"/>
              </a:solidFill>
            </a:ln>
          </c:spPr>
          <c:marker>
            <c:symbol val="none"/>
          </c:marker>
          <c:xVal>
            <c:numRef>
              <c:f>Foglio1!$I$67:$I$68</c:f>
              <c:numCache>
                <c:formatCode>General</c:formatCode>
                <c:ptCount val="2"/>
                <c:pt idx="0">
                  <c:v>1200</c:v>
                </c:pt>
                <c:pt idx="1">
                  <c:v>1200</c:v>
                </c:pt>
              </c:numCache>
            </c:numRef>
          </c:xVal>
          <c:yVal>
            <c:numRef>
              <c:f>Foglio1!$J$67:$J$68</c:f>
              <c:numCache>
                <c:formatCode>General</c:formatCode>
                <c:ptCount val="2"/>
                <c:pt idx="0">
                  <c:v>0</c:v>
                </c:pt>
                <c:pt idx="1">
                  <c:v>260</c:v>
                </c:pt>
              </c:numCache>
            </c:numRef>
          </c:yVal>
          <c:smooth val="0"/>
          <c:extLst>
            <c:ext xmlns:c16="http://schemas.microsoft.com/office/drawing/2014/chart" uri="{C3380CC4-5D6E-409C-BE32-E72D297353CC}">
              <c16:uniqueId val="{00000019-D086-4EC5-9062-AFA3743AA106}"/>
            </c:ext>
          </c:extLst>
        </c:ser>
        <c:ser>
          <c:idx val="26"/>
          <c:order val="26"/>
          <c:tx>
            <c:v>Visx</c:v>
          </c:tx>
          <c:spPr>
            <a:ln w="38100">
              <a:solidFill>
                <a:srgbClr val="FF0000"/>
              </a:solidFill>
            </a:ln>
          </c:spPr>
          <c:marker>
            <c:symbol val="none"/>
          </c:marker>
          <c:xVal>
            <c:numRef>
              <c:f>Foglio1!$I$73:$I$74</c:f>
              <c:numCache>
                <c:formatCode>General</c:formatCode>
                <c:ptCount val="2"/>
                <c:pt idx="0">
                  <c:v>730</c:v>
                </c:pt>
                <c:pt idx="1">
                  <c:v>1180</c:v>
                </c:pt>
              </c:numCache>
            </c:numRef>
          </c:xVal>
          <c:yVal>
            <c:numRef>
              <c:f>Foglio1!$J$73:$J$74</c:f>
              <c:numCache>
                <c:formatCode>General</c:formatCode>
                <c:ptCount val="2"/>
                <c:pt idx="0">
                  <c:v>45</c:v>
                </c:pt>
                <c:pt idx="1">
                  <c:v>45</c:v>
                </c:pt>
              </c:numCache>
            </c:numRef>
          </c:yVal>
          <c:smooth val="0"/>
          <c:extLst>
            <c:ext xmlns:c16="http://schemas.microsoft.com/office/drawing/2014/chart" uri="{C3380CC4-5D6E-409C-BE32-E72D297353CC}">
              <c16:uniqueId val="{0000001A-D086-4EC5-9062-AFA3743AA106}"/>
            </c:ext>
          </c:extLst>
        </c:ser>
        <c:ser>
          <c:idx val="27"/>
          <c:order val="27"/>
          <c:tx>
            <c:v>vidx</c:v>
          </c:tx>
          <c:spPr>
            <a:ln w="38100">
              <a:solidFill>
                <a:srgbClr val="FF0000"/>
              </a:solidFill>
            </a:ln>
          </c:spPr>
          <c:marker>
            <c:symbol val="none"/>
          </c:marker>
          <c:xVal>
            <c:numRef>
              <c:f>Foglio1!$M$73:$M$74</c:f>
              <c:numCache>
                <c:formatCode>General</c:formatCode>
                <c:ptCount val="2"/>
                <c:pt idx="0">
                  <c:v>1020</c:v>
                </c:pt>
                <c:pt idx="1">
                  <c:v>1470</c:v>
                </c:pt>
              </c:numCache>
            </c:numRef>
          </c:xVal>
          <c:yVal>
            <c:numRef>
              <c:f>Foglio1!$N$73:$N$74</c:f>
              <c:numCache>
                <c:formatCode>General</c:formatCode>
                <c:ptCount val="2"/>
                <c:pt idx="0">
                  <c:v>55</c:v>
                </c:pt>
                <c:pt idx="1">
                  <c:v>55</c:v>
                </c:pt>
              </c:numCache>
            </c:numRef>
          </c:yVal>
          <c:smooth val="0"/>
          <c:extLst>
            <c:ext xmlns:c16="http://schemas.microsoft.com/office/drawing/2014/chart" uri="{C3380CC4-5D6E-409C-BE32-E72D297353CC}">
              <c16:uniqueId val="{0000001B-D086-4EC5-9062-AFA3743AA106}"/>
            </c:ext>
          </c:extLst>
        </c:ser>
        <c:ser>
          <c:idx val="28"/>
          <c:order val="28"/>
          <c:tx>
            <c:v>Vssx</c:v>
          </c:tx>
          <c:spPr>
            <a:ln w="28575">
              <a:solidFill>
                <a:srgbClr val="0070C0"/>
              </a:solidFill>
            </a:ln>
          </c:spPr>
          <c:marker>
            <c:symbol val="none"/>
          </c:marker>
          <c:xVal>
            <c:numRef>
              <c:f>Foglio1!$I$77:$I$78</c:f>
              <c:numCache>
                <c:formatCode>General</c:formatCode>
                <c:ptCount val="2"/>
                <c:pt idx="0">
                  <c:v>730</c:v>
                </c:pt>
                <c:pt idx="1">
                  <c:v>1180</c:v>
                </c:pt>
              </c:numCache>
            </c:numRef>
          </c:xVal>
          <c:yVal>
            <c:numRef>
              <c:f>Foglio1!$J$77:$J$78</c:f>
              <c:numCache>
                <c:formatCode>General</c:formatCode>
                <c:ptCount val="2"/>
                <c:pt idx="0">
                  <c:v>215</c:v>
                </c:pt>
                <c:pt idx="1">
                  <c:v>215</c:v>
                </c:pt>
              </c:numCache>
            </c:numRef>
          </c:yVal>
          <c:smooth val="0"/>
          <c:extLst>
            <c:ext xmlns:c16="http://schemas.microsoft.com/office/drawing/2014/chart" uri="{C3380CC4-5D6E-409C-BE32-E72D297353CC}">
              <c16:uniqueId val="{0000001C-D086-4EC5-9062-AFA3743AA106}"/>
            </c:ext>
          </c:extLst>
        </c:ser>
        <c:ser>
          <c:idx val="29"/>
          <c:order val="29"/>
          <c:tx>
            <c:v>vsdx</c:v>
          </c:tx>
          <c:spPr>
            <a:ln w="28575">
              <a:solidFill>
                <a:srgbClr val="0070C0"/>
              </a:solidFill>
            </a:ln>
          </c:spPr>
          <c:marker>
            <c:symbol val="none"/>
          </c:marker>
          <c:xVal>
            <c:numRef>
              <c:f>Foglio1!$M$77:$M$78</c:f>
              <c:numCache>
                <c:formatCode>General</c:formatCode>
                <c:ptCount val="2"/>
                <c:pt idx="0">
                  <c:v>1020</c:v>
                </c:pt>
                <c:pt idx="1">
                  <c:v>1470</c:v>
                </c:pt>
              </c:numCache>
            </c:numRef>
          </c:xVal>
          <c:yVal>
            <c:numRef>
              <c:f>Foglio1!$N$77:$N$78</c:f>
              <c:numCache>
                <c:formatCode>General</c:formatCode>
                <c:ptCount val="2"/>
                <c:pt idx="0">
                  <c:v>225</c:v>
                </c:pt>
                <c:pt idx="1">
                  <c:v>225</c:v>
                </c:pt>
              </c:numCache>
            </c:numRef>
          </c:yVal>
          <c:smooth val="0"/>
          <c:extLst>
            <c:ext xmlns:c16="http://schemas.microsoft.com/office/drawing/2014/chart" uri="{C3380CC4-5D6E-409C-BE32-E72D297353CC}">
              <c16:uniqueId val="{0000001D-D086-4EC5-9062-AFA3743AA106}"/>
            </c:ext>
          </c:extLst>
        </c:ser>
        <c:ser>
          <c:idx val="30"/>
          <c:order val="30"/>
          <c:tx>
            <c:v>tavoletta</c:v>
          </c:tx>
          <c:spPr>
            <a:ln>
              <a:solidFill>
                <a:schemeClr val="tx1">
                  <a:lumMod val="75000"/>
                  <a:lumOff val="25000"/>
                </a:schemeClr>
              </a:solidFill>
            </a:ln>
          </c:spPr>
          <c:marker>
            <c:symbol val="none"/>
          </c:marker>
          <c:xVal>
            <c:numRef>
              <c:f>Foglio1!$I$82:$I$83</c:f>
              <c:numCache>
                <c:formatCode>General</c:formatCode>
                <c:ptCount val="2"/>
                <c:pt idx="0">
                  <c:v>970</c:v>
                </c:pt>
                <c:pt idx="1">
                  <c:v>1230</c:v>
                </c:pt>
              </c:numCache>
            </c:numRef>
          </c:xVal>
          <c:yVal>
            <c:numRef>
              <c:f>Foglio1!$J$82:$J$83</c:f>
              <c:numCache>
                <c:formatCode>General</c:formatCode>
                <c:ptCount val="2"/>
                <c:pt idx="0">
                  <c:v>0</c:v>
                </c:pt>
                <c:pt idx="1">
                  <c:v>0</c:v>
                </c:pt>
              </c:numCache>
            </c:numRef>
          </c:yVal>
          <c:smooth val="0"/>
          <c:extLst>
            <c:ext xmlns:c16="http://schemas.microsoft.com/office/drawing/2014/chart" uri="{C3380CC4-5D6E-409C-BE32-E72D297353CC}">
              <c16:uniqueId val="{0000001E-D086-4EC5-9062-AFA3743AA106}"/>
            </c:ext>
          </c:extLst>
        </c:ser>
        <c:ser>
          <c:idx val="31"/>
          <c:order val="31"/>
          <c:tx>
            <c:v>tav2</c:v>
          </c:tx>
          <c:spPr>
            <a:ln>
              <a:solidFill>
                <a:schemeClr val="tx1">
                  <a:lumMod val="75000"/>
                  <a:lumOff val="25000"/>
                </a:schemeClr>
              </a:solidFill>
            </a:ln>
          </c:spPr>
          <c:marker>
            <c:symbol val="none"/>
          </c:marker>
          <c:xVal>
            <c:numRef>
              <c:f>Foglio1!$I$85:$I$86</c:f>
              <c:numCache>
                <c:formatCode>General</c:formatCode>
                <c:ptCount val="2"/>
                <c:pt idx="0">
                  <c:v>970</c:v>
                </c:pt>
                <c:pt idx="1">
                  <c:v>1230</c:v>
                </c:pt>
              </c:numCache>
            </c:numRef>
          </c:xVal>
          <c:yVal>
            <c:numRef>
              <c:f>Foglio1!$J$85:$J$86</c:f>
              <c:numCache>
                <c:formatCode>General</c:formatCode>
                <c:ptCount val="2"/>
                <c:pt idx="0">
                  <c:v>0</c:v>
                </c:pt>
                <c:pt idx="1">
                  <c:v>0</c:v>
                </c:pt>
              </c:numCache>
            </c:numRef>
          </c:yVal>
          <c:smooth val="0"/>
          <c:extLst>
            <c:ext xmlns:c16="http://schemas.microsoft.com/office/drawing/2014/chart" uri="{C3380CC4-5D6E-409C-BE32-E72D297353CC}">
              <c16:uniqueId val="{0000001F-D086-4EC5-9062-AFA3743AA106}"/>
            </c:ext>
          </c:extLst>
        </c:ser>
        <c:ser>
          <c:idx val="32"/>
          <c:order val="32"/>
          <c:tx>
            <c:v>tav3</c:v>
          </c:tx>
          <c:spPr>
            <a:ln>
              <a:solidFill>
                <a:schemeClr val="tx1">
                  <a:lumMod val="75000"/>
                  <a:lumOff val="25000"/>
                </a:schemeClr>
              </a:solidFill>
            </a:ln>
          </c:spPr>
          <c:marker>
            <c:symbol val="none"/>
          </c:marker>
          <c:xVal>
            <c:numRef>
              <c:f>Foglio1!$I$88:$I$89</c:f>
              <c:numCache>
                <c:formatCode>General</c:formatCode>
                <c:ptCount val="2"/>
                <c:pt idx="0">
                  <c:v>970</c:v>
                </c:pt>
                <c:pt idx="1">
                  <c:v>970</c:v>
                </c:pt>
              </c:numCache>
            </c:numRef>
          </c:xVal>
          <c:yVal>
            <c:numRef>
              <c:f>Foglio1!$J$88:$J$89</c:f>
              <c:numCache>
                <c:formatCode>General</c:formatCode>
                <c:ptCount val="2"/>
                <c:pt idx="0">
                  <c:v>0</c:v>
                </c:pt>
                <c:pt idx="1">
                  <c:v>0</c:v>
                </c:pt>
              </c:numCache>
            </c:numRef>
          </c:yVal>
          <c:smooth val="0"/>
          <c:extLst>
            <c:ext xmlns:c16="http://schemas.microsoft.com/office/drawing/2014/chart" uri="{C3380CC4-5D6E-409C-BE32-E72D297353CC}">
              <c16:uniqueId val="{00000020-D086-4EC5-9062-AFA3743AA106}"/>
            </c:ext>
          </c:extLst>
        </c:ser>
        <c:ser>
          <c:idx val="33"/>
          <c:order val="33"/>
          <c:tx>
            <c:v>tav4</c:v>
          </c:tx>
          <c:spPr>
            <a:ln>
              <a:solidFill>
                <a:schemeClr val="tx1">
                  <a:lumMod val="75000"/>
                  <a:lumOff val="25000"/>
                </a:schemeClr>
              </a:solidFill>
            </a:ln>
          </c:spPr>
          <c:marker>
            <c:symbol val="none"/>
          </c:marker>
          <c:xVal>
            <c:numRef>
              <c:f>Foglio1!$I$91:$I$92</c:f>
              <c:numCache>
                <c:formatCode>General</c:formatCode>
                <c:ptCount val="2"/>
                <c:pt idx="0">
                  <c:v>1230</c:v>
                </c:pt>
                <c:pt idx="1">
                  <c:v>1230</c:v>
                </c:pt>
              </c:numCache>
            </c:numRef>
          </c:xVal>
          <c:yVal>
            <c:numRef>
              <c:f>Foglio1!$J$91:$J$92</c:f>
              <c:numCache>
                <c:formatCode>General</c:formatCode>
                <c:ptCount val="2"/>
                <c:pt idx="0">
                  <c:v>0</c:v>
                </c:pt>
                <c:pt idx="1">
                  <c:v>0</c:v>
                </c:pt>
              </c:numCache>
            </c:numRef>
          </c:yVal>
          <c:smooth val="0"/>
          <c:extLst>
            <c:ext xmlns:c16="http://schemas.microsoft.com/office/drawing/2014/chart" uri="{C3380CC4-5D6E-409C-BE32-E72D297353CC}">
              <c16:uniqueId val="{00000021-D086-4EC5-9062-AFA3743AA106}"/>
            </c:ext>
          </c:extLst>
        </c:ser>
        <c:ser>
          <c:idx val="34"/>
          <c:order val="34"/>
          <c:tx>
            <c:v>conc</c:v>
          </c:tx>
          <c:spPr>
            <a:ln>
              <a:solidFill>
                <a:schemeClr val="bg1">
                  <a:lumMod val="75000"/>
                </a:schemeClr>
              </a:solidFill>
            </a:ln>
          </c:spPr>
          <c:marker>
            <c:symbol val="none"/>
          </c:marker>
          <c:xVal>
            <c:numRef>
              <c:f>Foglio1!$I$95:$I$96</c:f>
              <c:numCache>
                <c:formatCode>General</c:formatCode>
                <c:ptCount val="2"/>
                <c:pt idx="0">
                  <c:v>1000</c:v>
                </c:pt>
                <c:pt idx="1">
                  <c:v>1200</c:v>
                </c:pt>
              </c:numCache>
            </c:numRef>
          </c:xVal>
          <c:yVal>
            <c:numRef>
              <c:f>Foglio1!$J$95:$J$96</c:f>
              <c:numCache>
                <c:formatCode>General</c:formatCode>
                <c:ptCount val="2"/>
                <c:pt idx="0">
                  <c:v>260</c:v>
                </c:pt>
                <c:pt idx="1">
                  <c:v>260</c:v>
                </c:pt>
              </c:numCache>
            </c:numRef>
          </c:yVal>
          <c:smooth val="0"/>
          <c:extLst>
            <c:ext xmlns:c16="http://schemas.microsoft.com/office/drawing/2014/chart" uri="{C3380CC4-5D6E-409C-BE32-E72D297353CC}">
              <c16:uniqueId val="{00000022-D086-4EC5-9062-AFA3743AA106}"/>
            </c:ext>
          </c:extLst>
        </c:ser>
        <c:ser>
          <c:idx val="35"/>
          <c:order val="35"/>
          <c:spPr>
            <a:ln>
              <a:solidFill>
                <a:schemeClr val="bg1">
                  <a:lumMod val="65000"/>
                </a:schemeClr>
              </a:solidFill>
            </a:ln>
          </c:spPr>
          <c:marker>
            <c:symbol val="none"/>
          </c:marker>
          <c:xVal>
            <c:numRef>
              <c:f>Foglio1!$AJ$45:$AJ$49</c:f>
              <c:numCache>
                <c:formatCode>General</c:formatCode>
                <c:ptCount val="5"/>
                <c:pt idx="0">
                  <c:v>1020</c:v>
                </c:pt>
                <c:pt idx="1">
                  <c:v>1020</c:v>
                </c:pt>
                <c:pt idx="2">
                  <c:v>1180</c:v>
                </c:pt>
                <c:pt idx="3">
                  <c:v>1180</c:v>
                </c:pt>
                <c:pt idx="4">
                  <c:v>1020</c:v>
                </c:pt>
              </c:numCache>
            </c:numRef>
          </c:xVal>
          <c:yVal>
            <c:numRef>
              <c:f>Foglio1!$AK$45:$AK$49</c:f>
              <c:numCache>
                <c:formatCode>General</c:formatCode>
                <c:ptCount val="5"/>
                <c:pt idx="0">
                  <c:v>20</c:v>
                </c:pt>
                <c:pt idx="1">
                  <c:v>240</c:v>
                </c:pt>
                <c:pt idx="2">
                  <c:v>240</c:v>
                </c:pt>
                <c:pt idx="3">
                  <c:v>20</c:v>
                </c:pt>
                <c:pt idx="4">
                  <c:v>20</c:v>
                </c:pt>
              </c:numCache>
            </c:numRef>
          </c:yVal>
          <c:smooth val="0"/>
          <c:extLst>
            <c:ext xmlns:c16="http://schemas.microsoft.com/office/drawing/2014/chart" uri="{C3380CC4-5D6E-409C-BE32-E72D297353CC}">
              <c16:uniqueId val="{00000023-D086-4EC5-9062-AFA3743AA106}"/>
            </c:ext>
          </c:extLst>
        </c:ser>
        <c:ser>
          <c:idx val="36"/>
          <c:order val="36"/>
          <c:tx>
            <c:v>F1</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dPt>
            <c:idx val="0"/>
            <c:bubble3D val="0"/>
            <c:extLst>
              <c:ext xmlns:c16="http://schemas.microsoft.com/office/drawing/2014/chart" uri="{C3380CC4-5D6E-409C-BE32-E72D297353CC}">
                <c16:uniqueId val="{00000024-D086-4EC5-9062-AFA3743AA106}"/>
              </c:ext>
            </c:extLst>
          </c:dPt>
          <c:xVal>
            <c:numRef>
              <c:f>Foglio1!$AJ$52</c:f>
              <c:numCache>
                <c:formatCode>General</c:formatCode>
                <c:ptCount val="1"/>
                <c:pt idx="0">
                  <c:v>1028</c:v>
                </c:pt>
              </c:numCache>
            </c:numRef>
          </c:xVal>
          <c:yVal>
            <c:numRef>
              <c:f>Foglio1!$AK$52</c:f>
              <c:numCache>
                <c:formatCode>General</c:formatCode>
                <c:ptCount val="1"/>
                <c:pt idx="0">
                  <c:v>24</c:v>
                </c:pt>
              </c:numCache>
            </c:numRef>
          </c:yVal>
          <c:smooth val="0"/>
          <c:extLst>
            <c:ext xmlns:c16="http://schemas.microsoft.com/office/drawing/2014/chart" uri="{C3380CC4-5D6E-409C-BE32-E72D297353CC}">
              <c16:uniqueId val="{00000025-D086-4EC5-9062-AFA3743AA106}"/>
            </c:ext>
          </c:extLst>
        </c:ser>
        <c:ser>
          <c:idx val="37"/>
          <c:order val="37"/>
          <c:tx>
            <c:v>F2</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Foglio1!$AJ$53</c:f>
              <c:numCache>
                <c:formatCode>General</c:formatCode>
                <c:ptCount val="1"/>
                <c:pt idx="0">
                  <c:v>1028</c:v>
                </c:pt>
              </c:numCache>
            </c:numRef>
          </c:xVal>
          <c:yVal>
            <c:numRef>
              <c:f>Foglio1!$AK$53</c:f>
              <c:numCache>
                <c:formatCode>General</c:formatCode>
                <c:ptCount val="1"/>
                <c:pt idx="0">
                  <c:v>236</c:v>
                </c:pt>
              </c:numCache>
            </c:numRef>
          </c:yVal>
          <c:smooth val="0"/>
          <c:extLst>
            <c:ext xmlns:c16="http://schemas.microsoft.com/office/drawing/2014/chart" uri="{C3380CC4-5D6E-409C-BE32-E72D297353CC}">
              <c16:uniqueId val="{00000026-D086-4EC5-9062-AFA3743AA106}"/>
            </c:ext>
          </c:extLst>
        </c:ser>
        <c:ser>
          <c:idx val="38"/>
          <c:order val="38"/>
          <c:tx>
            <c:v>F3</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Foglio1!$AJ$54</c:f>
              <c:numCache>
                <c:formatCode>General</c:formatCode>
                <c:ptCount val="1"/>
                <c:pt idx="0">
                  <c:v>1172</c:v>
                </c:pt>
              </c:numCache>
            </c:numRef>
          </c:xVal>
          <c:yVal>
            <c:numRef>
              <c:f>Foglio1!$AK$54</c:f>
              <c:numCache>
                <c:formatCode>General</c:formatCode>
                <c:ptCount val="1"/>
                <c:pt idx="0">
                  <c:v>24</c:v>
                </c:pt>
              </c:numCache>
            </c:numRef>
          </c:yVal>
          <c:smooth val="0"/>
          <c:extLst>
            <c:ext xmlns:c16="http://schemas.microsoft.com/office/drawing/2014/chart" uri="{C3380CC4-5D6E-409C-BE32-E72D297353CC}">
              <c16:uniqueId val="{00000027-D086-4EC5-9062-AFA3743AA106}"/>
            </c:ext>
          </c:extLst>
        </c:ser>
        <c:ser>
          <c:idx val="39"/>
          <c:order val="39"/>
          <c:tx>
            <c:v>F4</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Foglio1!$AJ$55</c:f>
              <c:numCache>
                <c:formatCode>General</c:formatCode>
                <c:ptCount val="1"/>
                <c:pt idx="0">
                  <c:v>1172</c:v>
                </c:pt>
              </c:numCache>
            </c:numRef>
          </c:xVal>
          <c:yVal>
            <c:numRef>
              <c:f>Foglio1!$AK$55</c:f>
              <c:numCache>
                <c:formatCode>General</c:formatCode>
                <c:ptCount val="1"/>
                <c:pt idx="0">
                  <c:v>236</c:v>
                </c:pt>
              </c:numCache>
            </c:numRef>
          </c:yVal>
          <c:smooth val="0"/>
          <c:extLst>
            <c:ext xmlns:c16="http://schemas.microsoft.com/office/drawing/2014/chart" uri="{C3380CC4-5D6E-409C-BE32-E72D297353CC}">
              <c16:uniqueId val="{00000028-D086-4EC5-9062-AFA3743AA106}"/>
            </c:ext>
          </c:extLst>
        </c:ser>
        <c:dLbls>
          <c:showLegendKey val="0"/>
          <c:showVal val="0"/>
          <c:showCatName val="0"/>
          <c:showSerName val="0"/>
          <c:showPercent val="0"/>
          <c:showBubbleSize val="0"/>
        </c:dLbls>
        <c:axId val="1450325407"/>
        <c:axId val="1450326847"/>
      </c:scatterChart>
      <c:valAx>
        <c:axId val="1450325407"/>
        <c:scaling>
          <c:orientation val="minMax"/>
        </c:scaling>
        <c:delete val="0"/>
        <c:axPos val="t"/>
        <c:majorGridlines>
          <c:spPr>
            <a:ln w="9525" cap="flat" cmpd="sng" algn="ctr">
              <a:noFill/>
              <a:round/>
            </a:ln>
            <a:effectLst/>
          </c:spPr>
        </c:majorGridlines>
        <c:numFmt formatCode="General" sourceLinked="1"/>
        <c:majorTickMark val="out"/>
        <c:minorTickMark val="none"/>
        <c:tickLblPos val="nextTo"/>
        <c:crossAx val="1450326847"/>
        <c:crossesAt val="0"/>
        <c:crossBetween val="midCat"/>
        <c:majorUnit val="250"/>
        <c:minorUnit val="50"/>
      </c:valAx>
      <c:valAx>
        <c:axId val="1450326847"/>
        <c:scaling>
          <c:orientation val="maxMin"/>
          <c:max val="300"/>
          <c:min val="0"/>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majorUnit val="40"/>
        <c:minorUnit val="20"/>
      </c:valAx>
    </c:plotArea>
    <c:plotVisOnly val="1"/>
    <c:dispBlanksAs val="gap"/>
    <c:showDLblsOverMax val="0"/>
    <c:extLst/>
  </c:chart>
  <c:spPr>
    <a:ln w="28575">
      <a:solidFill>
        <a:sysClr val="windowText" lastClr="000000"/>
      </a:solidFill>
    </a:ln>
  </c:spPr>
  <c:txPr>
    <a:bodyPr/>
    <a:lstStyle/>
    <a:p>
      <a:pPr>
        <a:defRPr/>
      </a:pPr>
      <a:endParaRPr lang="it-I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it-IT" sz="1200"/>
              <a:t>Screws</a:t>
            </a:r>
            <a:r>
              <a:rPr lang="it-IT" sz="1200" baseline="0"/>
              <a:t> position in CLT</a:t>
            </a:r>
            <a:endParaRPr lang="it-IT"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scatterChart>
        <c:scatterStyle val="lineMarker"/>
        <c:varyColors val="0"/>
        <c:ser>
          <c:idx val="0"/>
          <c:order val="0"/>
          <c:tx>
            <c:v>L1</c:v>
          </c:tx>
          <c:spPr>
            <a:ln w="19050" cap="rnd">
              <a:solidFill>
                <a:schemeClr val="tx1"/>
              </a:solidFill>
              <a:round/>
            </a:ln>
            <a:effectLst/>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0-3D56-4374-94C8-4A89850FDA3B}"/>
            </c:ext>
          </c:extLst>
        </c:ser>
        <c:ser>
          <c:idx val="1"/>
          <c:order val="1"/>
          <c:tx>
            <c:v>L2</c:v>
          </c:tx>
          <c:spPr>
            <a:ln w="19050" cap="rnd">
              <a:solidFill>
                <a:schemeClr val="bg1">
                  <a:lumMod val="75000"/>
                </a:schemeClr>
              </a:solidFill>
              <a:round/>
            </a:ln>
            <a:effectLst/>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1-3D56-4374-94C8-4A89850FDA3B}"/>
            </c:ext>
          </c:extLst>
        </c:ser>
        <c:ser>
          <c:idx val="2"/>
          <c:order val="2"/>
          <c:tx>
            <c:v>L3</c:v>
          </c:tx>
          <c:spPr>
            <a:ln w="19050" cap="rnd">
              <a:solidFill>
                <a:schemeClr val="bg1">
                  <a:lumMod val="75000"/>
                </a:schemeClr>
              </a:solidFill>
              <a:round/>
            </a:ln>
            <a:effectLst/>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2-3D56-4374-94C8-4A89850FDA3B}"/>
            </c:ext>
          </c:extLst>
        </c:ser>
        <c:ser>
          <c:idx val="3"/>
          <c:order val="3"/>
          <c:tx>
            <c:v>L4</c:v>
          </c:tx>
          <c:spPr>
            <a:ln w="19050" cap="rnd">
              <a:solidFill>
                <a:schemeClr val="bg1">
                  <a:lumMod val="75000"/>
                </a:schemeClr>
              </a:solidFill>
              <a:round/>
            </a:ln>
            <a:effectLst/>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3-3D56-4374-94C8-4A89850FDA3B}"/>
            </c:ext>
          </c:extLst>
        </c:ser>
        <c:ser>
          <c:idx val="4"/>
          <c:order val="4"/>
          <c:tx>
            <c:v>L5</c:v>
          </c:tx>
          <c:spPr>
            <a:ln w="19050" cap="rnd">
              <a:solidFill>
                <a:schemeClr val="bg1">
                  <a:lumMod val="75000"/>
                </a:schemeClr>
              </a:solidFill>
              <a:round/>
            </a:ln>
            <a:effectLst/>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4-3D56-4374-94C8-4A89850FDA3B}"/>
            </c:ext>
          </c:extLst>
        </c:ser>
        <c:ser>
          <c:idx val="5"/>
          <c:order val="5"/>
          <c:tx>
            <c:v>L6</c:v>
          </c:tx>
          <c:spPr>
            <a:ln w="19050" cap="rnd">
              <a:solidFill>
                <a:schemeClr val="bg1">
                  <a:lumMod val="75000"/>
                </a:schemeClr>
              </a:solidFill>
              <a:round/>
            </a:ln>
            <a:effectLst/>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5-3D56-4374-94C8-4A89850FDA3B}"/>
            </c:ext>
          </c:extLst>
        </c:ser>
        <c:ser>
          <c:idx val="6"/>
          <c:order val="6"/>
          <c:tx>
            <c:v>L7</c:v>
          </c:tx>
          <c:spPr>
            <a:ln w="19050" cap="rnd">
              <a:solidFill>
                <a:schemeClr val="bg1">
                  <a:lumMod val="75000"/>
                </a:schemeClr>
              </a:solidFill>
              <a:round/>
            </a:ln>
            <a:effectLst/>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6-3D56-4374-94C8-4A89850FDA3B}"/>
            </c:ext>
          </c:extLst>
        </c:ser>
        <c:ser>
          <c:idx val="7"/>
          <c:order val="7"/>
          <c:tx>
            <c:v>L8</c:v>
          </c:tx>
          <c:spPr>
            <a:ln w="19050" cap="rnd">
              <a:solidFill>
                <a:schemeClr val="bg1">
                  <a:lumMod val="75000"/>
                </a:schemeClr>
              </a:solidFill>
              <a:round/>
            </a:ln>
            <a:effectLst/>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7-3D56-4374-94C8-4A89850FDA3B}"/>
            </c:ext>
          </c:extLst>
        </c:ser>
        <c:ser>
          <c:idx val="8"/>
          <c:order val="8"/>
          <c:tx>
            <c:v>L9</c:v>
          </c:tx>
          <c:spPr>
            <a:ln w="19050" cap="rnd">
              <a:solidFill>
                <a:schemeClr val="bg1">
                  <a:lumMod val="75000"/>
                </a:schemeClr>
              </a:solidFill>
              <a:round/>
            </a:ln>
            <a:effectLst/>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8-3D56-4374-94C8-4A89850FDA3B}"/>
            </c:ext>
          </c:extLst>
        </c:ser>
        <c:ser>
          <c:idx val="9"/>
          <c:order val="9"/>
          <c:tx>
            <c:v>L10</c:v>
          </c:tx>
          <c:spPr>
            <a:ln w="19050" cap="rnd">
              <a:solidFill>
                <a:schemeClr val="bg1">
                  <a:lumMod val="75000"/>
                </a:schemeClr>
              </a:solidFill>
              <a:round/>
            </a:ln>
            <a:effectLst/>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9-3D56-4374-94C8-4A89850FDA3B}"/>
            </c:ext>
          </c:extLst>
        </c:ser>
        <c:ser>
          <c:idx val="10"/>
          <c:order val="10"/>
          <c:tx>
            <c:v>L11</c:v>
          </c:tx>
          <c:spPr>
            <a:ln w="19050" cap="rnd">
              <a:solidFill>
                <a:schemeClr val="bg1">
                  <a:lumMod val="75000"/>
                </a:schemeClr>
              </a:solidFill>
              <a:round/>
            </a:ln>
            <a:effectLst/>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A-3D56-4374-94C8-4A89850FDA3B}"/>
            </c:ext>
          </c:extLst>
        </c:ser>
        <c:ser>
          <c:idx val="11"/>
          <c:order val="11"/>
          <c:tx>
            <c:v>LT</c:v>
          </c:tx>
          <c:spPr>
            <a:ln w="19050" cap="rnd">
              <a:solidFill>
                <a:sysClr val="windowText" lastClr="000000"/>
              </a:solidFill>
              <a:round/>
            </a:ln>
            <a:effectLst/>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B-3D56-4374-94C8-4A89850FDA3B}"/>
            </c:ext>
          </c:extLst>
        </c:ser>
        <c:ser>
          <c:idx val="12"/>
          <c:order val="12"/>
          <c:tx>
            <c:v>V1_S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Foglio1!$N$12</c:f>
              <c:numCache>
                <c:formatCode>General</c:formatCode>
                <c:ptCount val="1"/>
                <c:pt idx="0">
                  <c:v>50</c:v>
                </c:pt>
              </c:numCache>
            </c:numRef>
          </c:xVal>
          <c:yVal>
            <c:numRef>
              <c:f>Foglio1!$O$12</c:f>
              <c:numCache>
                <c:formatCode>General</c:formatCode>
                <c:ptCount val="1"/>
                <c:pt idx="0">
                  <c:v>45</c:v>
                </c:pt>
              </c:numCache>
            </c:numRef>
          </c:yVal>
          <c:smooth val="0"/>
          <c:extLst>
            <c:ext xmlns:c16="http://schemas.microsoft.com/office/drawing/2014/chart" uri="{C3380CC4-5D6E-409C-BE32-E72D297353CC}">
              <c16:uniqueId val="{0000000C-3D56-4374-94C8-4A89850FDA3B}"/>
            </c:ext>
          </c:extLst>
        </c:ser>
        <c:ser>
          <c:idx val="13"/>
          <c:order val="13"/>
          <c:tx>
            <c:v>V2_S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Foglio1!$N$13</c:f>
              <c:numCache>
                <c:formatCode>General</c:formatCode>
                <c:ptCount val="1"/>
                <c:pt idx="0">
                  <c:v>250</c:v>
                </c:pt>
              </c:numCache>
            </c:numRef>
          </c:xVal>
          <c:yVal>
            <c:numRef>
              <c:f>Foglio1!$O$13</c:f>
              <c:numCache>
                <c:formatCode>General</c:formatCode>
                <c:ptCount val="1"/>
                <c:pt idx="0">
                  <c:v>45</c:v>
                </c:pt>
              </c:numCache>
            </c:numRef>
          </c:yVal>
          <c:smooth val="0"/>
          <c:extLst>
            <c:ext xmlns:c16="http://schemas.microsoft.com/office/drawing/2014/chart" uri="{C3380CC4-5D6E-409C-BE32-E72D297353CC}">
              <c16:uniqueId val="{0000000D-3D56-4374-94C8-4A89850FDA3B}"/>
            </c:ext>
          </c:extLst>
        </c:ser>
        <c:ser>
          <c:idx val="14"/>
          <c:order val="14"/>
          <c:tx>
            <c:v>V3_S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Foglio1!$N$14</c:f>
              <c:numCache>
                <c:formatCode>General</c:formatCode>
                <c:ptCount val="1"/>
                <c:pt idx="0">
                  <c:v>450</c:v>
                </c:pt>
              </c:numCache>
            </c:numRef>
          </c:xVal>
          <c:yVal>
            <c:numRef>
              <c:f>Foglio1!$O$14</c:f>
              <c:numCache>
                <c:formatCode>General</c:formatCode>
                <c:ptCount val="1"/>
                <c:pt idx="0">
                  <c:v>45</c:v>
                </c:pt>
              </c:numCache>
            </c:numRef>
          </c:yVal>
          <c:smooth val="0"/>
          <c:extLst>
            <c:ext xmlns:c16="http://schemas.microsoft.com/office/drawing/2014/chart" uri="{C3380CC4-5D6E-409C-BE32-E72D297353CC}">
              <c16:uniqueId val="{0000000E-3D56-4374-94C8-4A89850FDA3B}"/>
            </c:ext>
          </c:extLst>
        </c:ser>
        <c:ser>
          <c:idx val="15"/>
          <c:order val="15"/>
          <c:tx>
            <c:v>V4_S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Foglio1!$N$15</c:f>
              <c:numCache>
                <c:formatCode>General</c:formatCode>
                <c:ptCount val="1"/>
                <c:pt idx="0">
                  <c:v>650</c:v>
                </c:pt>
              </c:numCache>
            </c:numRef>
          </c:xVal>
          <c:yVal>
            <c:numRef>
              <c:f>Foglio1!$O$15</c:f>
              <c:numCache>
                <c:formatCode>General</c:formatCode>
                <c:ptCount val="1"/>
                <c:pt idx="0">
                  <c:v>45</c:v>
                </c:pt>
              </c:numCache>
            </c:numRef>
          </c:yVal>
          <c:smooth val="0"/>
          <c:extLst>
            <c:ext xmlns:c16="http://schemas.microsoft.com/office/drawing/2014/chart" uri="{C3380CC4-5D6E-409C-BE32-E72D297353CC}">
              <c16:uniqueId val="{0000000F-3D56-4374-94C8-4A89850FDA3B}"/>
            </c:ext>
          </c:extLst>
        </c:ser>
        <c:ser>
          <c:idx val="16"/>
          <c:order val="16"/>
          <c:tx>
            <c:v>V5_S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Foglio1!$N$16</c:f>
              <c:numCache>
                <c:formatCode>General</c:formatCode>
                <c:ptCount val="1"/>
                <c:pt idx="0">
                  <c:v>850</c:v>
                </c:pt>
              </c:numCache>
            </c:numRef>
          </c:xVal>
          <c:yVal>
            <c:numRef>
              <c:f>Foglio1!$O$16</c:f>
              <c:numCache>
                <c:formatCode>General</c:formatCode>
                <c:ptCount val="1"/>
                <c:pt idx="0">
                  <c:v>45</c:v>
                </c:pt>
              </c:numCache>
            </c:numRef>
          </c:yVal>
          <c:smooth val="0"/>
          <c:extLst>
            <c:ext xmlns:c16="http://schemas.microsoft.com/office/drawing/2014/chart" uri="{C3380CC4-5D6E-409C-BE32-E72D297353CC}">
              <c16:uniqueId val="{00000010-3D56-4374-94C8-4A89850FDA3B}"/>
            </c:ext>
          </c:extLst>
        </c:ser>
        <c:ser>
          <c:idx val="17"/>
          <c:order val="17"/>
          <c:tx>
            <c:v>V6_S</c:v>
          </c:tx>
          <c:spPr>
            <a:ln w="19050"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numRef>
              <c:f>Foglio1!$N$17</c:f>
            </c:numRef>
          </c:xVal>
          <c:yVal>
            <c:numRef>
              <c:f>Foglio1!$O$17</c:f>
              <c:numCache>
                <c:formatCode>General</c:formatCode>
                <c:ptCount val="1"/>
                <c:pt idx="0">
                  <c:v>0</c:v>
                </c:pt>
              </c:numCache>
            </c:numRef>
          </c:yVal>
          <c:smooth val="0"/>
          <c:extLst>
            <c:ext xmlns:c16="http://schemas.microsoft.com/office/drawing/2014/chart" uri="{C3380CC4-5D6E-409C-BE32-E72D297353CC}">
              <c16:uniqueId val="{00000011-3D56-4374-94C8-4A89850FDA3B}"/>
            </c:ext>
          </c:extLst>
        </c:ser>
        <c:ser>
          <c:idx val="18"/>
          <c:order val="18"/>
          <c:tx>
            <c:v>V7_S</c:v>
          </c:tx>
          <c:spPr>
            <a:ln w="19050"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xVal>
            <c:numRef>
              <c:f>Foglio1!$N$18</c:f>
            </c:numRef>
          </c:xVal>
          <c:yVal>
            <c:numRef>
              <c:f>Foglio1!$O$18</c:f>
              <c:numCache>
                <c:formatCode>General</c:formatCode>
                <c:ptCount val="1"/>
                <c:pt idx="0">
                  <c:v>0</c:v>
                </c:pt>
              </c:numCache>
            </c:numRef>
          </c:yVal>
          <c:smooth val="0"/>
          <c:extLst>
            <c:ext xmlns:c16="http://schemas.microsoft.com/office/drawing/2014/chart" uri="{C3380CC4-5D6E-409C-BE32-E72D297353CC}">
              <c16:uniqueId val="{00000012-3D56-4374-94C8-4A89850FDA3B}"/>
            </c:ext>
          </c:extLst>
        </c:ser>
        <c:ser>
          <c:idx val="19"/>
          <c:order val="19"/>
          <c:tx>
            <c:v>V8_S</c:v>
          </c:tx>
          <c:spPr>
            <a:ln w="19050"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xVal>
            <c:numRef>
              <c:f>Foglio1!$N$19</c:f>
            </c:numRef>
          </c:xVal>
          <c:yVal>
            <c:numRef>
              <c:f>Foglio1!$O$19</c:f>
              <c:numCache>
                <c:formatCode>General</c:formatCode>
                <c:ptCount val="1"/>
                <c:pt idx="0">
                  <c:v>0</c:v>
                </c:pt>
              </c:numCache>
            </c:numRef>
          </c:yVal>
          <c:smooth val="0"/>
          <c:extLst>
            <c:ext xmlns:c16="http://schemas.microsoft.com/office/drawing/2014/chart" uri="{C3380CC4-5D6E-409C-BE32-E72D297353CC}">
              <c16:uniqueId val="{00000013-3D56-4374-94C8-4A89850FDA3B}"/>
            </c:ext>
          </c:extLst>
        </c:ser>
        <c:ser>
          <c:idx val="20"/>
          <c:order val="20"/>
          <c:tx>
            <c:v>V9_S</c:v>
          </c:tx>
          <c:spPr>
            <a:ln w="19050"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xVal>
            <c:numRef>
              <c:f>Foglio1!$N$20</c:f>
            </c:numRef>
          </c:xVal>
          <c:yVal>
            <c:numRef>
              <c:f>Foglio1!$O$20</c:f>
              <c:numCache>
                <c:formatCode>General</c:formatCode>
                <c:ptCount val="1"/>
                <c:pt idx="0">
                  <c:v>0</c:v>
                </c:pt>
              </c:numCache>
            </c:numRef>
          </c:yVal>
          <c:smooth val="0"/>
          <c:extLst>
            <c:ext xmlns:c16="http://schemas.microsoft.com/office/drawing/2014/chart" uri="{C3380CC4-5D6E-409C-BE32-E72D297353CC}">
              <c16:uniqueId val="{00000014-3D56-4374-94C8-4A89850FDA3B}"/>
            </c:ext>
          </c:extLst>
        </c:ser>
        <c:ser>
          <c:idx val="21"/>
          <c:order val="21"/>
          <c:tx>
            <c:v>V10_S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Foglio1!$N$21</c:f>
            </c:numRef>
          </c:xVal>
          <c:yVal>
            <c:numRef>
              <c:f>Foglio1!$O$21</c:f>
              <c:numCache>
                <c:formatCode>General</c:formatCode>
                <c:ptCount val="1"/>
                <c:pt idx="0">
                  <c:v>0</c:v>
                </c:pt>
              </c:numCache>
            </c:numRef>
          </c:yVal>
          <c:smooth val="0"/>
          <c:extLst>
            <c:ext xmlns:c16="http://schemas.microsoft.com/office/drawing/2014/chart" uri="{C3380CC4-5D6E-409C-BE32-E72D297353CC}">
              <c16:uniqueId val="{00000015-3D56-4374-94C8-4A89850FDA3B}"/>
            </c:ext>
          </c:extLst>
        </c:ser>
        <c:ser>
          <c:idx val="22"/>
          <c:order val="22"/>
          <c:tx>
            <c:v>V1_I</c:v>
          </c:tx>
          <c:spPr>
            <a:ln w="19050"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dPt>
            <c:idx val="0"/>
            <c:marker>
              <c:symbol val="circle"/>
              <c:size val="5"/>
              <c:spPr>
                <a:solidFill>
                  <a:srgbClr val="FF0000"/>
                </a:solidFill>
                <a:ln w="9525">
                  <a:solidFill>
                    <a:srgbClr val="FF0000"/>
                  </a:solidFill>
                </a:ln>
                <a:effectLst/>
              </c:spPr>
            </c:marker>
            <c:bubble3D val="0"/>
            <c:extLst>
              <c:ext xmlns:c16="http://schemas.microsoft.com/office/drawing/2014/chart" uri="{C3380CC4-5D6E-409C-BE32-E72D297353CC}">
                <c16:uniqueId val="{00000016-3D56-4374-94C8-4A89850FDA3B}"/>
              </c:ext>
            </c:extLst>
          </c:dPt>
          <c:xVal>
            <c:numRef>
              <c:f>Foglio1!$R$12</c:f>
              <c:numCache>
                <c:formatCode>General</c:formatCode>
                <c:ptCount val="1"/>
                <c:pt idx="0">
                  <c:v>100</c:v>
                </c:pt>
              </c:numCache>
            </c:numRef>
          </c:xVal>
          <c:yVal>
            <c:numRef>
              <c:f>Foglio1!$S$12</c:f>
              <c:numCache>
                <c:formatCode>General</c:formatCode>
                <c:ptCount val="1"/>
                <c:pt idx="0">
                  <c:v>215</c:v>
                </c:pt>
              </c:numCache>
            </c:numRef>
          </c:yVal>
          <c:smooth val="0"/>
          <c:extLst>
            <c:ext xmlns:c16="http://schemas.microsoft.com/office/drawing/2014/chart" uri="{C3380CC4-5D6E-409C-BE32-E72D297353CC}">
              <c16:uniqueId val="{00000017-3D56-4374-94C8-4A89850FDA3B}"/>
            </c:ext>
          </c:extLst>
        </c:ser>
        <c:ser>
          <c:idx val="23"/>
          <c:order val="23"/>
          <c:tx>
            <c:v>V2_I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Foglio1!$R$13</c:f>
              <c:numCache>
                <c:formatCode>General</c:formatCode>
                <c:ptCount val="1"/>
                <c:pt idx="0">
                  <c:v>300</c:v>
                </c:pt>
              </c:numCache>
            </c:numRef>
          </c:xVal>
          <c:yVal>
            <c:numRef>
              <c:f>Foglio1!$S$13</c:f>
              <c:numCache>
                <c:formatCode>General</c:formatCode>
                <c:ptCount val="1"/>
                <c:pt idx="0">
                  <c:v>215</c:v>
                </c:pt>
              </c:numCache>
            </c:numRef>
          </c:yVal>
          <c:smooth val="0"/>
          <c:extLst>
            <c:ext xmlns:c16="http://schemas.microsoft.com/office/drawing/2014/chart" uri="{C3380CC4-5D6E-409C-BE32-E72D297353CC}">
              <c16:uniqueId val="{00000018-3D56-4374-94C8-4A89850FDA3B}"/>
            </c:ext>
          </c:extLst>
        </c:ser>
        <c:ser>
          <c:idx val="24"/>
          <c:order val="24"/>
          <c:tx>
            <c:v>V3_I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Foglio1!$R$14</c:f>
              <c:numCache>
                <c:formatCode>General</c:formatCode>
                <c:ptCount val="1"/>
                <c:pt idx="0">
                  <c:v>500</c:v>
                </c:pt>
              </c:numCache>
            </c:numRef>
          </c:xVal>
          <c:yVal>
            <c:numRef>
              <c:f>Foglio1!$S$14</c:f>
              <c:numCache>
                <c:formatCode>General</c:formatCode>
                <c:ptCount val="1"/>
                <c:pt idx="0">
                  <c:v>215</c:v>
                </c:pt>
              </c:numCache>
            </c:numRef>
          </c:yVal>
          <c:smooth val="0"/>
          <c:extLst>
            <c:ext xmlns:c16="http://schemas.microsoft.com/office/drawing/2014/chart" uri="{C3380CC4-5D6E-409C-BE32-E72D297353CC}">
              <c16:uniqueId val="{00000019-3D56-4374-94C8-4A89850FDA3B}"/>
            </c:ext>
          </c:extLst>
        </c:ser>
        <c:ser>
          <c:idx val="25"/>
          <c:order val="25"/>
          <c:tx>
            <c:v>V4_I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Foglio1!$R$15</c:f>
              <c:numCache>
                <c:formatCode>General</c:formatCode>
                <c:ptCount val="1"/>
                <c:pt idx="0">
                  <c:v>700</c:v>
                </c:pt>
              </c:numCache>
            </c:numRef>
          </c:xVal>
          <c:yVal>
            <c:numRef>
              <c:f>Foglio1!$S$15</c:f>
              <c:numCache>
                <c:formatCode>General</c:formatCode>
                <c:ptCount val="1"/>
                <c:pt idx="0">
                  <c:v>215</c:v>
                </c:pt>
              </c:numCache>
            </c:numRef>
          </c:yVal>
          <c:smooth val="0"/>
          <c:extLst>
            <c:ext xmlns:c16="http://schemas.microsoft.com/office/drawing/2014/chart" uri="{C3380CC4-5D6E-409C-BE32-E72D297353CC}">
              <c16:uniqueId val="{0000001A-3D56-4374-94C8-4A89850FDA3B}"/>
            </c:ext>
          </c:extLst>
        </c:ser>
        <c:ser>
          <c:idx val="26"/>
          <c:order val="26"/>
          <c:tx>
            <c:v>V5_I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Foglio1!$R$16</c:f>
              <c:numCache>
                <c:formatCode>General</c:formatCode>
                <c:ptCount val="1"/>
                <c:pt idx="0">
                  <c:v>900</c:v>
                </c:pt>
              </c:numCache>
            </c:numRef>
          </c:xVal>
          <c:yVal>
            <c:numRef>
              <c:f>Foglio1!$S$16</c:f>
              <c:numCache>
                <c:formatCode>General</c:formatCode>
                <c:ptCount val="1"/>
                <c:pt idx="0">
                  <c:v>215</c:v>
                </c:pt>
              </c:numCache>
            </c:numRef>
          </c:yVal>
          <c:smooth val="0"/>
          <c:extLst>
            <c:ext xmlns:c16="http://schemas.microsoft.com/office/drawing/2014/chart" uri="{C3380CC4-5D6E-409C-BE32-E72D297353CC}">
              <c16:uniqueId val="{0000001B-3D56-4374-94C8-4A89850FDA3B}"/>
            </c:ext>
          </c:extLst>
        </c:ser>
        <c:dLbls>
          <c:showLegendKey val="0"/>
          <c:showVal val="0"/>
          <c:showCatName val="0"/>
          <c:showSerName val="0"/>
          <c:showPercent val="0"/>
          <c:showBubbleSize val="0"/>
        </c:dLbls>
        <c:axId val="1450325407"/>
        <c:axId val="1450326847"/>
      </c:scatterChart>
      <c:valAx>
        <c:axId val="1450325407"/>
        <c:scaling>
          <c:orientation val="minMax"/>
        </c:scaling>
        <c:delete val="1"/>
        <c:axPos val="t"/>
        <c:majorGridlines>
          <c:spPr>
            <a:ln w="9525" cap="flat" cmpd="sng" algn="ctr">
              <a:noFill/>
              <a:round/>
            </a:ln>
            <a:effectLst/>
          </c:spPr>
        </c:majorGridlines>
        <c:numFmt formatCode="General" sourceLinked="1"/>
        <c:majorTickMark val="none"/>
        <c:minorTickMark val="none"/>
        <c:tickLblPos val="nextTo"/>
        <c:crossAx val="1450326847"/>
        <c:crosses val="autoZero"/>
        <c:crossBetween val="midCat"/>
      </c:valAx>
      <c:valAx>
        <c:axId val="1450326847"/>
        <c:scaling>
          <c:orientation val="maxMin"/>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valAx>
      <c:spPr>
        <a:noFill/>
        <a:ln w="28575">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ysClr val="windowText" lastClr="000000"/>
      </a:solidFill>
      <a:round/>
    </a:ln>
    <a:effectLst/>
  </c:spPr>
  <c:txPr>
    <a:bodyPr/>
    <a:lstStyle/>
    <a:p>
      <a:pPr>
        <a:defRPr/>
      </a:pPr>
      <a:endParaRPr lang="it-I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L1</c:v>
          </c:tx>
          <c:spPr>
            <a:ln w="19050" cap="rnd">
              <a:solidFill>
                <a:schemeClr val="tx1"/>
              </a:solidFill>
              <a:round/>
            </a:ln>
            <a:effectLst/>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2-2EF6-48BC-88A3-6D3420DA828B}"/>
            </c:ext>
          </c:extLst>
        </c:ser>
        <c:ser>
          <c:idx val="1"/>
          <c:order val="1"/>
          <c:tx>
            <c:v>L2</c:v>
          </c:tx>
          <c:spPr>
            <a:ln w="19050" cap="rnd">
              <a:solidFill>
                <a:schemeClr val="bg1">
                  <a:lumMod val="75000"/>
                </a:schemeClr>
              </a:solidFill>
              <a:round/>
            </a:ln>
            <a:effectLst/>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3-2EF6-48BC-88A3-6D3420DA828B}"/>
            </c:ext>
          </c:extLst>
        </c:ser>
        <c:ser>
          <c:idx val="2"/>
          <c:order val="2"/>
          <c:tx>
            <c:v>L3</c:v>
          </c:tx>
          <c:spPr>
            <a:ln w="19050" cap="rnd">
              <a:solidFill>
                <a:schemeClr val="bg1">
                  <a:lumMod val="75000"/>
                </a:schemeClr>
              </a:solidFill>
              <a:round/>
            </a:ln>
            <a:effectLst/>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4-2EF6-48BC-88A3-6D3420DA828B}"/>
            </c:ext>
          </c:extLst>
        </c:ser>
        <c:ser>
          <c:idx val="3"/>
          <c:order val="3"/>
          <c:tx>
            <c:v>L4</c:v>
          </c:tx>
          <c:spPr>
            <a:ln w="19050" cap="rnd">
              <a:solidFill>
                <a:schemeClr val="bg1">
                  <a:lumMod val="75000"/>
                </a:schemeClr>
              </a:solidFill>
              <a:round/>
            </a:ln>
            <a:effectLst/>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5-2EF6-48BC-88A3-6D3420DA828B}"/>
            </c:ext>
          </c:extLst>
        </c:ser>
        <c:ser>
          <c:idx val="4"/>
          <c:order val="4"/>
          <c:tx>
            <c:v>L5</c:v>
          </c:tx>
          <c:spPr>
            <a:ln w="19050" cap="rnd">
              <a:solidFill>
                <a:schemeClr val="bg1">
                  <a:lumMod val="75000"/>
                </a:schemeClr>
              </a:solidFill>
              <a:round/>
            </a:ln>
            <a:effectLst/>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7-2EF6-48BC-88A3-6D3420DA828B}"/>
            </c:ext>
          </c:extLst>
        </c:ser>
        <c:ser>
          <c:idx val="5"/>
          <c:order val="5"/>
          <c:tx>
            <c:v>L6</c:v>
          </c:tx>
          <c:spPr>
            <a:ln w="19050" cap="rnd">
              <a:solidFill>
                <a:schemeClr val="bg1">
                  <a:lumMod val="75000"/>
                </a:schemeClr>
              </a:solidFill>
              <a:round/>
            </a:ln>
            <a:effectLst/>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8-2EF6-48BC-88A3-6D3420DA828B}"/>
            </c:ext>
          </c:extLst>
        </c:ser>
        <c:ser>
          <c:idx val="6"/>
          <c:order val="6"/>
          <c:tx>
            <c:v>L7</c:v>
          </c:tx>
          <c:spPr>
            <a:ln w="19050" cap="rnd">
              <a:solidFill>
                <a:schemeClr val="bg1">
                  <a:lumMod val="75000"/>
                </a:schemeClr>
              </a:solidFill>
              <a:round/>
            </a:ln>
            <a:effectLst/>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9-2EF6-48BC-88A3-6D3420DA828B}"/>
            </c:ext>
          </c:extLst>
        </c:ser>
        <c:ser>
          <c:idx val="7"/>
          <c:order val="7"/>
          <c:tx>
            <c:v>L8</c:v>
          </c:tx>
          <c:spPr>
            <a:ln w="19050" cap="rnd">
              <a:solidFill>
                <a:schemeClr val="bg1">
                  <a:lumMod val="75000"/>
                </a:schemeClr>
              </a:solidFill>
              <a:round/>
            </a:ln>
            <a:effectLst/>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A-2EF6-48BC-88A3-6D3420DA828B}"/>
            </c:ext>
          </c:extLst>
        </c:ser>
        <c:ser>
          <c:idx val="8"/>
          <c:order val="8"/>
          <c:tx>
            <c:v>L9</c:v>
          </c:tx>
          <c:spPr>
            <a:ln w="19050" cap="rnd">
              <a:solidFill>
                <a:schemeClr val="bg1">
                  <a:lumMod val="75000"/>
                </a:schemeClr>
              </a:solidFill>
              <a:round/>
            </a:ln>
            <a:effectLst/>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B-2EF6-48BC-88A3-6D3420DA828B}"/>
            </c:ext>
          </c:extLst>
        </c:ser>
        <c:ser>
          <c:idx val="9"/>
          <c:order val="9"/>
          <c:tx>
            <c:v>L10</c:v>
          </c:tx>
          <c:spPr>
            <a:ln w="19050" cap="rnd">
              <a:solidFill>
                <a:schemeClr val="bg1">
                  <a:lumMod val="75000"/>
                </a:schemeClr>
              </a:solidFill>
              <a:round/>
            </a:ln>
            <a:effectLst/>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C-2EF6-48BC-88A3-6D3420DA828B}"/>
            </c:ext>
          </c:extLst>
        </c:ser>
        <c:ser>
          <c:idx val="10"/>
          <c:order val="10"/>
          <c:tx>
            <c:v>L11</c:v>
          </c:tx>
          <c:spPr>
            <a:ln w="19050" cap="rnd">
              <a:solidFill>
                <a:schemeClr val="bg1">
                  <a:lumMod val="75000"/>
                </a:schemeClr>
              </a:solidFill>
              <a:round/>
            </a:ln>
            <a:effectLst/>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D-2EF6-48BC-88A3-6D3420DA828B}"/>
            </c:ext>
          </c:extLst>
        </c:ser>
        <c:ser>
          <c:idx val="11"/>
          <c:order val="11"/>
          <c:tx>
            <c:v>LT</c:v>
          </c:tx>
          <c:spPr>
            <a:ln w="19050" cap="rnd">
              <a:solidFill>
                <a:sysClr val="windowText" lastClr="000000"/>
              </a:solidFill>
              <a:round/>
            </a:ln>
            <a:effectLst/>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E-2EF6-48BC-88A3-6D3420DA828B}"/>
            </c:ext>
          </c:extLst>
        </c:ser>
        <c:ser>
          <c:idx val="12"/>
          <c:order val="12"/>
          <c:tx>
            <c:v>V1_S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Foglio1!$N$12</c:f>
              <c:numCache>
                <c:formatCode>General</c:formatCode>
                <c:ptCount val="1"/>
                <c:pt idx="0">
                  <c:v>50</c:v>
                </c:pt>
              </c:numCache>
            </c:numRef>
          </c:xVal>
          <c:yVal>
            <c:numRef>
              <c:f>Foglio1!$O$12</c:f>
              <c:numCache>
                <c:formatCode>General</c:formatCode>
                <c:ptCount val="1"/>
                <c:pt idx="0">
                  <c:v>45</c:v>
                </c:pt>
              </c:numCache>
            </c:numRef>
          </c:yVal>
          <c:smooth val="0"/>
          <c:extLst>
            <c:ext xmlns:c16="http://schemas.microsoft.com/office/drawing/2014/chart" uri="{C3380CC4-5D6E-409C-BE32-E72D297353CC}">
              <c16:uniqueId val="{0000000F-2EF6-48BC-88A3-6D3420DA828B}"/>
            </c:ext>
          </c:extLst>
        </c:ser>
        <c:ser>
          <c:idx val="13"/>
          <c:order val="13"/>
          <c:tx>
            <c:v>V2_S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Foglio1!$N$13</c:f>
              <c:numCache>
                <c:formatCode>General</c:formatCode>
                <c:ptCount val="1"/>
                <c:pt idx="0">
                  <c:v>250</c:v>
                </c:pt>
              </c:numCache>
            </c:numRef>
          </c:xVal>
          <c:yVal>
            <c:numRef>
              <c:f>Foglio1!$O$13</c:f>
              <c:numCache>
                <c:formatCode>General</c:formatCode>
                <c:ptCount val="1"/>
                <c:pt idx="0">
                  <c:v>45</c:v>
                </c:pt>
              </c:numCache>
            </c:numRef>
          </c:yVal>
          <c:smooth val="0"/>
          <c:extLst>
            <c:ext xmlns:c16="http://schemas.microsoft.com/office/drawing/2014/chart" uri="{C3380CC4-5D6E-409C-BE32-E72D297353CC}">
              <c16:uniqueId val="{00000010-2EF6-48BC-88A3-6D3420DA828B}"/>
            </c:ext>
          </c:extLst>
        </c:ser>
        <c:ser>
          <c:idx val="14"/>
          <c:order val="14"/>
          <c:tx>
            <c:v>V3_S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Foglio1!$N$14</c:f>
              <c:numCache>
                <c:formatCode>General</c:formatCode>
                <c:ptCount val="1"/>
                <c:pt idx="0">
                  <c:v>450</c:v>
                </c:pt>
              </c:numCache>
            </c:numRef>
          </c:xVal>
          <c:yVal>
            <c:numRef>
              <c:f>Foglio1!$O$14</c:f>
              <c:numCache>
                <c:formatCode>General</c:formatCode>
                <c:ptCount val="1"/>
                <c:pt idx="0">
                  <c:v>45</c:v>
                </c:pt>
              </c:numCache>
            </c:numRef>
          </c:yVal>
          <c:smooth val="0"/>
          <c:extLst>
            <c:ext xmlns:c16="http://schemas.microsoft.com/office/drawing/2014/chart" uri="{C3380CC4-5D6E-409C-BE32-E72D297353CC}">
              <c16:uniqueId val="{00000011-2EF6-48BC-88A3-6D3420DA828B}"/>
            </c:ext>
          </c:extLst>
        </c:ser>
        <c:ser>
          <c:idx val="15"/>
          <c:order val="15"/>
          <c:tx>
            <c:v>V4_S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Foglio1!$N$15</c:f>
              <c:numCache>
                <c:formatCode>General</c:formatCode>
                <c:ptCount val="1"/>
                <c:pt idx="0">
                  <c:v>650</c:v>
                </c:pt>
              </c:numCache>
            </c:numRef>
          </c:xVal>
          <c:yVal>
            <c:numRef>
              <c:f>Foglio1!$O$15</c:f>
              <c:numCache>
                <c:formatCode>General</c:formatCode>
                <c:ptCount val="1"/>
                <c:pt idx="0">
                  <c:v>45</c:v>
                </c:pt>
              </c:numCache>
            </c:numRef>
          </c:yVal>
          <c:smooth val="0"/>
          <c:extLst>
            <c:ext xmlns:c16="http://schemas.microsoft.com/office/drawing/2014/chart" uri="{C3380CC4-5D6E-409C-BE32-E72D297353CC}">
              <c16:uniqueId val="{00000012-2EF6-48BC-88A3-6D3420DA828B}"/>
            </c:ext>
          </c:extLst>
        </c:ser>
        <c:ser>
          <c:idx val="16"/>
          <c:order val="16"/>
          <c:tx>
            <c:v>V5_S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Foglio1!$N$16</c:f>
              <c:numCache>
                <c:formatCode>General</c:formatCode>
                <c:ptCount val="1"/>
                <c:pt idx="0">
                  <c:v>850</c:v>
                </c:pt>
              </c:numCache>
            </c:numRef>
          </c:xVal>
          <c:yVal>
            <c:numRef>
              <c:f>Foglio1!$O$16</c:f>
              <c:numCache>
                <c:formatCode>General</c:formatCode>
                <c:ptCount val="1"/>
                <c:pt idx="0">
                  <c:v>45</c:v>
                </c:pt>
              </c:numCache>
            </c:numRef>
          </c:yVal>
          <c:smooth val="0"/>
          <c:extLst>
            <c:ext xmlns:c16="http://schemas.microsoft.com/office/drawing/2014/chart" uri="{C3380CC4-5D6E-409C-BE32-E72D297353CC}">
              <c16:uniqueId val="{00000013-2EF6-48BC-88A3-6D3420DA828B}"/>
            </c:ext>
          </c:extLst>
        </c:ser>
        <c:ser>
          <c:idx val="17"/>
          <c:order val="17"/>
          <c:tx>
            <c:v>V6_S</c:v>
          </c:tx>
          <c:spPr>
            <a:ln w="19050"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numRef>
              <c:f>Foglio1!$N$17</c:f>
            </c:numRef>
          </c:xVal>
          <c:yVal>
            <c:numRef>
              <c:f>Foglio1!$O$17</c:f>
              <c:numCache>
                <c:formatCode>General</c:formatCode>
                <c:ptCount val="1"/>
                <c:pt idx="0">
                  <c:v>0</c:v>
                </c:pt>
              </c:numCache>
            </c:numRef>
          </c:yVal>
          <c:smooth val="0"/>
          <c:extLst>
            <c:ext xmlns:c16="http://schemas.microsoft.com/office/drawing/2014/chart" uri="{C3380CC4-5D6E-409C-BE32-E72D297353CC}">
              <c16:uniqueId val="{00000014-2EF6-48BC-88A3-6D3420DA828B}"/>
            </c:ext>
          </c:extLst>
        </c:ser>
        <c:ser>
          <c:idx val="18"/>
          <c:order val="18"/>
          <c:tx>
            <c:v>V7_S</c:v>
          </c:tx>
          <c:spPr>
            <a:ln w="19050"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xVal>
            <c:numRef>
              <c:f>Foglio1!$N$18</c:f>
            </c:numRef>
          </c:xVal>
          <c:yVal>
            <c:numRef>
              <c:f>Foglio1!$O$18</c:f>
              <c:numCache>
                <c:formatCode>General</c:formatCode>
                <c:ptCount val="1"/>
                <c:pt idx="0">
                  <c:v>0</c:v>
                </c:pt>
              </c:numCache>
            </c:numRef>
          </c:yVal>
          <c:smooth val="0"/>
          <c:extLst>
            <c:ext xmlns:c16="http://schemas.microsoft.com/office/drawing/2014/chart" uri="{C3380CC4-5D6E-409C-BE32-E72D297353CC}">
              <c16:uniqueId val="{00000015-2EF6-48BC-88A3-6D3420DA828B}"/>
            </c:ext>
          </c:extLst>
        </c:ser>
        <c:ser>
          <c:idx val="19"/>
          <c:order val="19"/>
          <c:tx>
            <c:v>V8_S</c:v>
          </c:tx>
          <c:spPr>
            <a:ln w="19050"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xVal>
            <c:numRef>
              <c:f>Foglio1!$N$19</c:f>
            </c:numRef>
          </c:xVal>
          <c:yVal>
            <c:numRef>
              <c:f>Foglio1!$O$19</c:f>
              <c:numCache>
                <c:formatCode>General</c:formatCode>
                <c:ptCount val="1"/>
                <c:pt idx="0">
                  <c:v>0</c:v>
                </c:pt>
              </c:numCache>
            </c:numRef>
          </c:yVal>
          <c:smooth val="0"/>
          <c:extLst>
            <c:ext xmlns:c16="http://schemas.microsoft.com/office/drawing/2014/chart" uri="{C3380CC4-5D6E-409C-BE32-E72D297353CC}">
              <c16:uniqueId val="{00000016-2EF6-48BC-88A3-6D3420DA828B}"/>
            </c:ext>
          </c:extLst>
        </c:ser>
        <c:ser>
          <c:idx val="20"/>
          <c:order val="20"/>
          <c:tx>
            <c:v>V9_S</c:v>
          </c:tx>
          <c:spPr>
            <a:ln w="19050"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xVal>
            <c:numRef>
              <c:f>Foglio1!$N$20</c:f>
            </c:numRef>
          </c:xVal>
          <c:yVal>
            <c:numRef>
              <c:f>Foglio1!$O$20</c:f>
              <c:numCache>
                <c:formatCode>General</c:formatCode>
                <c:ptCount val="1"/>
                <c:pt idx="0">
                  <c:v>0</c:v>
                </c:pt>
              </c:numCache>
            </c:numRef>
          </c:yVal>
          <c:smooth val="0"/>
          <c:extLst>
            <c:ext xmlns:c16="http://schemas.microsoft.com/office/drawing/2014/chart" uri="{C3380CC4-5D6E-409C-BE32-E72D297353CC}">
              <c16:uniqueId val="{00000017-2EF6-48BC-88A3-6D3420DA828B}"/>
            </c:ext>
          </c:extLst>
        </c:ser>
        <c:ser>
          <c:idx val="21"/>
          <c:order val="21"/>
          <c:tx>
            <c:v>V10_S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Foglio1!$N$21</c:f>
            </c:numRef>
          </c:xVal>
          <c:yVal>
            <c:numRef>
              <c:f>Foglio1!$O$21</c:f>
              <c:numCache>
                <c:formatCode>General</c:formatCode>
                <c:ptCount val="1"/>
                <c:pt idx="0">
                  <c:v>0</c:v>
                </c:pt>
              </c:numCache>
            </c:numRef>
          </c:yVal>
          <c:smooth val="0"/>
          <c:extLst>
            <c:ext xmlns:c16="http://schemas.microsoft.com/office/drawing/2014/chart" uri="{C3380CC4-5D6E-409C-BE32-E72D297353CC}">
              <c16:uniqueId val="{00000018-2EF6-48BC-88A3-6D3420DA828B}"/>
            </c:ext>
          </c:extLst>
        </c:ser>
        <c:ser>
          <c:idx val="22"/>
          <c:order val="22"/>
          <c:tx>
            <c:v>V1_I</c:v>
          </c:tx>
          <c:spPr>
            <a:ln w="19050"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dPt>
            <c:idx val="0"/>
            <c:marker>
              <c:symbol val="circle"/>
              <c:size val="5"/>
              <c:spPr>
                <a:solidFill>
                  <a:srgbClr val="FF0000"/>
                </a:solidFill>
                <a:ln w="9525">
                  <a:solidFill>
                    <a:srgbClr val="FF0000"/>
                  </a:solidFill>
                </a:ln>
                <a:effectLst/>
              </c:spPr>
            </c:marker>
            <c:bubble3D val="0"/>
            <c:extLst>
              <c:ext xmlns:c16="http://schemas.microsoft.com/office/drawing/2014/chart" uri="{C3380CC4-5D6E-409C-BE32-E72D297353CC}">
                <c16:uniqueId val="{00000000-4C7C-41AE-A259-5BE5BD8AD70D}"/>
              </c:ext>
            </c:extLst>
          </c:dPt>
          <c:xVal>
            <c:numRef>
              <c:f>Foglio1!$R$12</c:f>
              <c:numCache>
                <c:formatCode>General</c:formatCode>
                <c:ptCount val="1"/>
                <c:pt idx="0">
                  <c:v>100</c:v>
                </c:pt>
              </c:numCache>
            </c:numRef>
          </c:xVal>
          <c:yVal>
            <c:numRef>
              <c:f>Foglio1!$S$12</c:f>
              <c:numCache>
                <c:formatCode>General</c:formatCode>
                <c:ptCount val="1"/>
                <c:pt idx="0">
                  <c:v>215</c:v>
                </c:pt>
              </c:numCache>
            </c:numRef>
          </c:yVal>
          <c:smooth val="0"/>
          <c:extLst>
            <c:ext xmlns:c16="http://schemas.microsoft.com/office/drawing/2014/chart" uri="{C3380CC4-5D6E-409C-BE32-E72D297353CC}">
              <c16:uniqueId val="{00000019-2EF6-48BC-88A3-6D3420DA828B}"/>
            </c:ext>
          </c:extLst>
        </c:ser>
        <c:ser>
          <c:idx val="23"/>
          <c:order val="23"/>
          <c:tx>
            <c:v>V2_I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Foglio1!$R$13</c:f>
              <c:numCache>
                <c:formatCode>General</c:formatCode>
                <c:ptCount val="1"/>
                <c:pt idx="0">
                  <c:v>300</c:v>
                </c:pt>
              </c:numCache>
            </c:numRef>
          </c:xVal>
          <c:yVal>
            <c:numRef>
              <c:f>Foglio1!$S$13</c:f>
              <c:numCache>
                <c:formatCode>General</c:formatCode>
                <c:ptCount val="1"/>
                <c:pt idx="0">
                  <c:v>215</c:v>
                </c:pt>
              </c:numCache>
            </c:numRef>
          </c:yVal>
          <c:smooth val="0"/>
          <c:extLst>
            <c:ext xmlns:c16="http://schemas.microsoft.com/office/drawing/2014/chart" uri="{C3380CC4-5D6E-409C-BE32-E72D297353CC}">
              <c16:uniqueId val="{0000001A-2EF6-48BC-88A3-6D3420DA828B}"/>
            </c:ext>
          </c:extLst>
        </c:ser>
        <c:ser>
          <c:idx val="24"/>
          <c:order val="24"/>
          <c:tx>
            <c:v>V3_I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Foglio1!$R$14</c:f>
              <c:numCache>
                <c:formatCode>General</c:formatCode>
                <c:ptCount val="1"/>
                <c:pt idx="0">
                  <c:v>500</c:v>
                </c:pt>
              </c:numCache>
            </c:numRef>
          </c:xVal>
          <c:yVal>
            <c:numRef>
              <c:f>Foglio1!$S$14</c:f>
              <c:numCache>
                <c:formatCode>General</c:formatCode>
                <c:ptCount val="1"/>
                <c:pt idx="0">
                  <c:v>215</c:v>
                </c:pt>
              </c:numCache>
            </c:numRef>
          </c:yVal>
          <c:smooth val="0"/>
          <c:extLst>
            <c:ext xmlns:c16="http://schemas.microsoft.com/office/drawing/2014/chart" uri="{C3380CC4-5D6E-409C-BE32-E72D297353CC}">
              <c16:uniqueId val="{0000001B-2EF6-48BC-88A3-6D3420DA828B}"/>
            </c:ext>
          </c:extLst>
        </c:ser>
        <c:ser>
          <c:idx val="25"/>
          <c:order val="25"/>
          <c:tx>
            <c:v>V4_I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Foglio1!$R$15</c:f>
              <c:numCache>
                <c:formatCode>General</c:formatCode>
                <c:ptCount val="1"/>
                <c:pt idx="0">
                  <c:v>700</c:v>
                </c:pt>
              </c:numCache>
            </c:numRef>
          </c:xVal>
          <c:yVal>
            <c:numRef>
              <c:f>Foglio1!$S$15</c:f>
              <c:numCache>
                <c:formatCode>General</c:formatCode>
                <c:ptCount val="1"/>
                <c:pt idx="0">
                  <c:v>215</c:v>
                </c:pt>
              </c:numCache>
            </c:numRef>
          </c:yVal>
          <c:smooth val="0"/>
          <c:extLst>
            <c:ext xmlns:c16="http://schemas.microsoft.com/office/drawing/2014/chart" uri="{C3380CC4-5D6E-409C-BE32-E72D297353CC}">
              <c16:uniqueId val="{0000001C-2EF6-48BC-88A3-6D3420DA828B}"/>
            </c:ext>
          </c:extLst>
        </c:ser>
        <c:ser>
          <c:idx val="26"/>
          <c:order val="26"/>
          <c:tx>
            <c:v>V5_I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Foglio1!$R$16</c:f>
              <c:numCache>
                <c:formatCode>General</c:formatCode>
                <c:ptCount val="1"/>
                <c:pt idx="0">
                  <c:v>900</c:v>
                </c:pt>
              </c:numCache>
            </c:numRef>
          </c:xVal>
          <c:yVal>
            <c:numRef>
              <c:f>Foglio1!$S$16</c:f>
              <c:numCache>
                <c:formatCode>General</c:formatCode>
                <c:ptCount val="1"/>
                <c:pt idx="0">
                  <c:v>215</c:v>
                </c:pt>
              </c:numCache>
            </c:numRef>
          </c:yVal>
          <c:smooth val="0"/>
          <c:extLst>
            <c:ext xmlns:c16="http://schemas.microsoft.com/office/drawing/2014/chart" uri="{C3380CC4-5D6E-409C-BE32-E72D297353CC}">
              <c16:uniqueId val="{0000001D-2EF6-48BC-88A3-6D3420DA828B}"/>
            </c:ext>
          </c:extLst>
        </c:ser>
        <c:dLbls>
          <c:showLegendKey val="0"/>
          <c:showVal val="0"/>
          <c:showCatName val="0"/>
          <c:showSerName val="0"/>
          <c:showPercent val="0"/>
          <c:showBubbleSize val="0"/>
        </c:dLbls>
        <c:axId val="1450325407"/>
        <c:axId val="1450326847"/>
      </c:scatterChart>
      <c:valAx>
        <c:axId val="1450325407"/>
        <c:scaling>
          <c:orientation val="minMax"/>
        </c:scaling>
        <c:delete val="1"/>
        <c:axPos val="b"/>
        <c:majorGridlines>
          <c:spPr>
            <a:ln w="9525" cap="flat" cmpd="sng" algn="ctr">
              <a:noFill/>
              <a:round/>
            </a:ln>
            <a:effectLst/>
          </c:spPr>
        </c:majorGridlines>
        <c:numFmt formatCode="General" sourceLinked="1"/>
        <c:majorTickMark val="none"/>
        <c:minorTickMark val="none"/>
        <c:tickLblPos val="nextTo"/>
        <c:crossAx val="1450326847"/>
        <c:crosses val="autoZero"/>
        <c:crossBetween val="midCat"/>
      </c:valAx>
      <c:valAx>
        <c:axId val="1450326847"/>
        <c:scaling>
          <c:orientation val="minMax"/>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it-IT"/>
          </a:p>
        </c:txPr>
        <c:crossAx val="1450325407"/>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lang="en-US" sz="1000" b="0" i="0" u="none" strike="noStrike" kern="1200" baseline="0">
          <a:solidFill>
            <a:schemeClr val="tx1"/>
          </a:solidFill>
          <a:latin typeface="+mn-lt"/>
          <a:ea typeface="+mn-ea"/>
          <a:cs typeface="+mn-cs"/>
        </a:defRPr>
      </a:pPr>
      <a:endParaRPr lang="it-I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12"/>
          <c:order val="0"/>
          <c:tx>
            <c:v>L1</c:v>
          </c:tx>
          <c:spPr>
            <a:ln>
              <a:solidFill>
                <a:schemeClr val="tx1"/>
              </a:solidFill>
            </a:ln>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34-D243-47DD-BC23-2C143A0A1D6B}"/>
            </c:ext>
          </c:extLst>
        </c:ser>
        <c:ser>
          <c:idx val="13"/>
          <c:order val="1"/>
          <c:tx>
            <c:v>L2</c:v>
          </c:tx>
          <c:spPr>
            <a:ln>
              <a:solidFill>
                <a:schemeClr val="bg1">
                  <a:lumMod val="75000"/>
                </a:schemeClr>
              </a:solidFill>
            </a:ln>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35-D243-47DD-BC23-2C143A0A1D6B}"/>
            </c:ext>
          </c:extLst>
        </c:ser>
        <c:ser>
          <c:idx val="14"/>
          <c:order val="2"/>
          <c:tx>
            <c:v>L3</c:v>
          </c:tx>
          <c:spPr>
            <a:ln>
              <a:solidFill>
                <a:schemeClr val="bg1">
                  <a:lumMod val="75000"/>
                </a:schemeClr>
              </a:solidFill>
            </a:ln>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36-D243-47DD-BC23-2C143A0A1D6B}"/>
            </c:ext>
          </c:extLst>
        </c:ser>
        <c:ser>
          <c:idx val="15"/>
          <c:order val="3"/>
          <c:tx>
            <c:v>L4</c:v>
          </c:tx>
          <c:spPr>
            <a:ln>
              <a:solidFill>
                <a:schemeClr val="bg1">
                  <a:lumMod val="75000"/>
                </a:schemeClr>
              </a:solidFill>
            </a:ln>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37-D243-47DD-BC23-2C143A0A1D6B}"/>
            </c:ext>
          </c:extLst>
        </c:ser>
        <c:ser>
          <c:idx val="16"/>
          <c:order val="4"/>
          <c:tx>
            <c:v>L5</c:v>
          </c:tx>
          <c:spPr>
            <a:ln>
              <a:solidFill>
                <a:schemeClr val="bg1">
                  <a:lumMod val="75000"/>
                </a:schemeClr>
              </a:solidFill>
            </a:ln>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38-D243-47DD-BC23-2C143A0A1D6B}"/>
            </c:ext>
          </c:extLst>
        </c:ser>
        <c:ser>
          <c:idx val="17"/>
          <c:order val="5"/>
          <c:tx>
            <c:v>L6</c:v>
          </c:tx>
          <c:spPr>
            <a:ln>
              <a:solidFill>
                <a:schemeClr val="bg1">
                  <a:lumMod val="75000"/>
                </a:schemeClr>
              </a:solidFill>
            </a:ln>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39-D243-47DD-BC23-2C143A0A1D6B}"/>
            </c:ext>
          </c:extLst>
        </c:ser>
        <c:ser>
          <c:idx val="18"/>
          <c:order val="6"/>
          <c:tx>
            <c:v>L7</c:v>
          </c:tx>
          <c:spPr>
            <a:ln>
              <a:solidFill>
                <a:schemeClr val="bg1">
                  <a:lumMod val="75000"/>
                </a:schemeClr>
              </a:solidFill>
            </a:ln>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3A-D243-47DD-BC23-2C143A0A1D6B}"/>
            </c:ext>
          </c:extLst>
        </c:ser>
        <c:ser>
          <c:idx val="19"/>
          <c:order val="7"/>
          <c:tx>
            <c:v>L8</c:v>
          </c:tx>
          <c:spPr>
            <a:ln>
              <a:solidFill>
                <a:schemeClr val="bg1">
                  <a:lumMod val="75000"/>
                </a:schemeClr>
              </a:solidFill>
            </a:ln>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3B-D243-47DD-BC23-2C143A0A1D6B}"/>
            </c:ext>
          </c:extLst>
        </c:ser>
        <c:ser>
          <c:idx val="20"/>
          <c:order val="8"/>
          <c:tx>
            <c:v>L9</c:v>
          </c:tx>
          <c:spPr>
            <a:ln>
              <a:solidFill>
                <a:schemeClr val="bg1">
                  <a:lumMod val="75000"/>
                </a:schemeClr>
              </a:solidFill>
            </a:ln>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3C-D243-47DD-BC23-2C143A0A1D6B}"/>
            </c:ext>
          </c:extLst>
        </c:ser>
        <c:ser>
          <c:idx val="21"/>
          <c:order val="9"/>
          <c:tx>
            <c:v>L10</c:v>
          </c:tx>
          <c:spPr>
            <a:ln>
              <a:solidFill>
                <a:schemeClr val="bg1">
                  <a:lumMod val="75000"/>
                </a:schemeClr>
              </a:solidFill>
            </a:ln>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3D-D243-47DD-BC23-2C143A0A1D6B}"/>
            </c:ext>
          </c:extLst>
        </c:ser>
        <c:ser>
          <c:idx val="22"/>
          <c:order val="10"/>
          <c:tx>
            <c:v>L11</c:v>
          </c:tx>
          <c:spPr>
            <a:ln>
              <a:solidFill>
                <a:schemeClr val="bg1">
                  <a:lumMod val="75000"/>
                </a:schemeClr>
              </a:solidFill>
            </a:ln>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3E-D243-47DD-BC23-2C143A0A1D6B}"/>
            </c:ext>
          </c:extLst>
        </c:ser>
        <c:ser>
          <c:idx val="23"/>
          <c:order val="11"/>
          <c:tx>
            <c:v>LT</c:v>
          </c:tx>
          <c:spPr>
            <a:ln>
              <a:solidFill>
                <a:sysClr val="windowText" lastClr="000000"/>
              </a:solidFill>
            </a:ln>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3F-D243-47DD-BC23-2C143A0A1D6B}"/>
            </c:ext>
          </c:extLst>
        </c:ser>
        <c:ser>
          <c:idx val="0"/>
          <c:order val="12"/>
          <c:spPr>
            <a:ln w="19050" cap="rnd">
              <a:solidFill>
                <a:schemeClr val="tx1"/>
              </a:solidFill>
              <a:round/>
            </a:ln>
            <a:effectLst/>
          </c:spPr>
          <c:marker>
            <c:symbol val="none"/>
          </c:marker>
          <c:xVal>
            <c:numRef>
              <c:f>Foglio1!$L$39:$L$40</c:f>
              <c:numCache>
                <c:formatCode>General</c:formatCode>
                <c:ptCount val="2"/>
                <c:pt idx="0">
                  <c:v>1200</c:v>
                </c:pt>
                <c:pt idx="1">
                  <c:v>2200</c:v>
                </c:pt>
              </c:numCache>
            </c:numRef>
          </c:xVal>
          <c:yVal>
            <c:numRef>
              <c:f>Foglio1!$M$39:$M$40</c:f>
              <c:numCache>
                <c:formatCode>General</c:formatCode>
                <c:ptCount val="2"/>
                <c:pt idx="0">
                  <c:v>0</c:v>
                </c:pt>
                <c:pt idx="1">
                  <c:v>0</c:v>
                </c:pt>
              </c:numCache>
            </c:numRef>
          </c:yVal>
          <c:smooth val="0"/>
          <c:extLst>
            <c:ext xmlns:c16="http://schemas.microsoft.com/office/drawing/2014/chart" uri="{C3380CC4-5D6E-409C-BE32-E72D297353CC}">
              <c16:uniqueId val="{0000001D-D243-47DD-BC23-2C143A0A1D6B}"/>
            </c:ext>
          </c:extLst>
        </c:ser>
        <c:ser>
          <c:idx val="1"/>
          <c:order val="13"/>
          <c:spPr>
            <a:ln w="19050" cap="rnd">
              <a:solidFill>
                <a:schemeClr val="bg1">
                  <a:lumMod val="75000"/>
                </a:schemeClr>
              </a:solidFill>
              <a:round/>
            </a:ln>
            <a:effectLst/>
          </c:spPr>
          <c:marker>
            <c:symbol val="none"/>
          </c:marker>
          <c:xVal>
            <c:numRef>
              <c:f>Foglio1!$L$41:$L$42</c:f>
              <c:numCache>
                <c:formatCode>General</c:formatCode>
                <c:ptCount val="2"/>
                <c:pt idx="0">
                  <c:v>1200</c:v>
                </c:pt>
                <c:pt idx="1">
                  <c:v>2200</c:v>
                </c:pt>
              </c:numCache>
            </c:numRef>
          </c:xVal>
          <c:yVal>
            <c:numRef>
              <c:f>Foglio1!$M$41:$M$42</c:f>
              <c:numCache>
                <c:formatCode>General</c:formatCode>
                <c:ptCount val="2"/>
                <c:pt idx="0">
                  <c:v>40</c:v>
                </c:pt>
                <c:pt idx="1">
                  <c:v>40</c:v>
                </c:pt>
              </c:numCache>
            </c:numRef>
          </c:yVal>
          <c:smooth val="0"/>
          <c:extLst>
            <c:ext xmlns:c16="http://schemas.microsoft.com/office/drawing/2014/chart" uri="{C3380CC4-5D6E-409C-BE32-E72D297353CC}">
              <c16:uniqueId val="{0000001F-D243-47DD-BC23-2C143A0A1D6B}"/>
            </c:ext>
          </c:extLst>
        </c:ser>
        <c:ser>
          <c:idx val="2"/>
          <c:order val="14"/>
          <c:spPr>
            <a:ln w="19050" cap="rnd">
              <a:solidFill>
                <a:schemeClr val="bg1">
                  <a:lumMod val="75000"/>
                </a:schemeClr>
              </a:solidFill>
              <a:round/>
            </a:ln>
            <a:effectLst/>
          </c:spPr>
          <c:marker>
            <c:symbol val="none"/>
          </c:marker>
          <c:xVal>
            <c:numRef>
              <c:f>Foglio1!$L$43:$L$44</c:f>
              <c:numCache>
                <c:formatCode>General</c:formatCode>
                <c:ptCount val="2"/>
                <c:pt idx="0">
                  <c:v>1200</c:v>
                </c:pt>
                <c:pt idx="1">
                  <c:v>2200</c:v>
                </c:pt>
              </c:numCache>
            </c:numRef>
          </c:xVal>
          <c:yVal>
            <c:numRef>
              <c:f>Foglio1!$M$43:$M$44</c:f>
              <c:numCache>
                <c:formatCode>General</c:formatCode>
                <c:ptCount val="2"/>
                <c:pt idx="0">
                  <c:v>80</c:v>
                </c:pt>
                <c:pt idx="1">
                  <c:v>80</c:v>
                </c:pt>
              </c:numCache>
            </c:numRef>
          </c:yVal>
          <c:smooth val="0"/>
          <c:extLst>
            <c:ext xmlns:c16="http://schemas.microsoft.com/office/drawing/2014/chart" uri="{C3380CC4-5D6E-409C-BE32-E72D297353CC}">
              <c16:uniqueId val="{00000021-D243-47DD-BC23-2C143A0A1D6B}"/>
            </c:ext>
          </c:extLst>
        </c:ser>
        <c:ser>
          <c:idx val="3"/>
          <c:order val="15"/>
          <c:spPr>
            <a:ln w="19050" cap="rnd">
              <a:solidFill>
                <a:schemeClr val="bg1">
                  <a:lumMod val="75000"/>
                </a:schemeClr>
              </a:solidFill>
              <a:round/>
            </a:ln>
            <a:effectLst/>
          </c:spPr>
          <c:marker>
            <c:symbol val="none"/>
          </c:marker>
          <c:xVal>
            <c:numRef>
              <c:f>Foglio1!$L$45:$L$46</c:f>
              <c:numCache>
                <c:formatCode>General</c:formatCode>
                <c:ptCount val="2"/>
                <c:pt idx="0">
                  <c:v>1200</c:v>
                </c:pt>
                <c:pt idx="1">
                  <c:v>2200</c:v>
                </c:pt>
              </c:numCache>
            </c:numRef>
          </c:xVal>
          <c:yVal>
            <c:numRef>
              <c:f>Foglio1!$M$45:$M$46</c:f>
              <c:numCache>
                <c:formatCode>General</c:formatCode>
                <c:ptCount val="2"/>
                <c:pt idx="0">
                  <c:v>110</c:v>
                </c:pt>
                <c:pt idx="1">
                  <c:v>110</c:v>
                </c:pt>
              </c:numCache>
            </c:numRef>
          </c:yVal>
          <c:smooth val="0"/>
          <c:extLst>
            <c:ext xmlns:c16="http://schemas.microsoft.com/office/drawing/2014/chart" uri="{C3380CC4-5D6E-409C-BE32-E72D297353CC}">
              <c16:uniqueId val="{00000023-D243-47DD-BC23-2C143A0A1D6B}"/>
            </c:ext>
          </c:extLst>
        </c:ser>
        <c:ser>
          <c:idx val="4"/>
          <c:order val="16"/>
          <c:spPr>
            <a:ln w="19050" cap="rnd">
              <a:solidFill>
                <a:schemeClr val="bg1">
                  <a:lumMod val="75000"/>
                </a:schemeClr>
              </a:solidFill>
              <a:round/>
            </a:ln>
            <a:effectLst/>
          </c:spPr>
          <c:marker>
            <c:symbol val="none"/>
          </c:marker>
          <c:xVal>
            <c:numRef>
              <c:f>Foglio1!$L$47:$L$48</c:f>
              <c:numCache>
                <c:formatCode>General</c:formatCode>
                <c:ptCount val="2"/>
                <c:pt idx="0">
                  <c:v>1200</c:v>
                </c:pt>
                <c:pt idx="1">
                  <c:v>2200</c:v>
                </c:pt>
              </c:numCache>
            </c:numRef>
          </c:xVal>
          <c:yVal>
            <c:numRef>
              <c:f>Foglio1!$M$47:$M$48</c:f>
              <c:numCache>
                <c:formatCode>General</c:formatCode>
                <c:ptCount val="2"/>
                <c:pt idx="0">
                  <c:v>150</c:v>
                </c:pt>
                <c:pt idx="1">
                  <c:v>150</c:v>
                </c:pt>
              </c:numCache>
            </c:numRef>
          </c:yVal>
          <c:smooth val="0"/>
          <c:extLst>
            <c:ext xmlns:c16="http://schemas.microsoft.com/office/drawing/2014/chart" uri="{C3380CC4-5D6E-409C-BE32-E72D297353CC}">
              <c16:uniqueId val="{00000025-D243-47DD-BC23-2C143A0A1D6B}"/>
            </c:ext>
          </c:extLst>
        </c:ser>
        <c:ser>
          <c:idx val="5"/>
          <c:order val="17"/>
          <c:spPr>
            <a:ln w="19050" cap="rnd">
              <a:solidFill>
                <a:schemeClr val="bg1">
                  <a:lumMod val="75000"/>
                </a:schemeClr>
              </a:solidFill>
              <a:round/>
            </a:ln>
            <a:effectLst/>
          </c:spPr>
          <c:marker>
            <c:symbol val="none"/>
          </c:marker>
          <c:xVal>
            <c:numRef>
              <c:f>Foglio1!$L$49:$L$50</c:f>
              <c:numCache>
                <c:formatCode>General</c:formatCode>
                <c:ptCount val="2"/>
                <c:pt idx="0">
                  <c:v>1200</c:v>
                </c:pt>
                <c:pt idx="1">
                  <c:v>2200</c:v>
                </c:pt>
              </c:numCache>
            </c:numRef>
          </c:xVal>
          <c:yVal>
            <c:numRef>
              <c:f>Foglio1!$M$49:$M$50</c:f>
              <c:numCache>
                <c:formatCode>General</c:formatCode>
                <c:ptCount val="2"/>
                <c:pt idx="0">
                  <c:v>180</c:v>
                </c:pt>
                <c:pt idx="1">
                  <c:v>180</c:v>
                </c:pt>
              </c:numCache>
            </c:numRef>
          </c:yVal>
          <c:smooth val="0"/>
          <c:extLst>
            <c:ext xmlns:c16="http://schemas.microsoft.com/office/drawing/2014/chart" uri="{C3380CC4-5D6E-409C-BE32-E72D297353CC}">
              <c16:uniqueId val="{00000027-D243-47DD-BC23-2C143A0A1D6B}"/>
            </c:ext>
          </c:extLst>
        </c:ser>
        <c:ser>
          <c:idx val="6"/>
          <c:order val="18"/>
          <c:spPr>
            <a:ln w="19050" cap="rnd">
              <a:solidFill>
                <a:schemeClr val="bg1">
                  <a:lumMod val="75000"/>
                </a:schemeClr>
              </a:solidFill>
              <a:round/>
            </a:ln>
            <a:effectLst/>
          </c:spPr>
          <c:marker>
            <c:symbol val="none"/>
          </c:marker>
          <c:xVal>
            <c:numRef>
              <c:f>Foglio1!$L$51:$L$52</c:f>
              <c:numCache>
                <c:formatCode>General</c:formatCode>
                <c:ptCount val="2"/>
                <c:pt idx="0">
                  <c:v>1200</c:v>
                </c:pt>
                <c:pt idx="1">
                  <c:v>2200</c:v>
                </c:pt>
              </c:numCache>
            </c:numRef>
          </c:xVal>
          <c:yVal>
            <c:numRef>
              <c:f>Foglio1!$M$51:$M$52</c:f>
              <c:numCache>
                <c:formatCode>General</c:formatCode>
                <c:ptCount val="2"/>
                <c:pt idx="0">
                  <c:v>220</c:v>
                </c:pt>
                <c:pt idx="1">
                  <c:v>220</c:v>
                </c:pt>
              </c:numCache>
            </c:numRef>
          </c:yVal>
          <c:smooth val="0"/>
          <c:extLst>
            <c:ext xmlns:c16="http://schemas.microsoft.com/office/drawing/2014/chart" uri="{C3380CC4-5D6E-409C-BE32-E72D297353CC}">
              <c16:uniqueId val="{00000029-D243-47DD-BC23-2C143A0A1D6B}"/>
            </c:ext>
          </c:extLst>
        </c:ser>
        <c:ser>
          <c:idx val="7"/>
          <c:order val="19"/>
          <c:spPr>
            <a:ln w="19050" cap="rnd">
              <a:solidFill>
                <a:schemeClr val="bg1">
                  <a:lumMod val="75000"/>
                </a:schemeClr>
              </a:solidFill>
              <a:round/>
            </a:ln>
            <a:effectLst/>
          </c:spPr>
          <c:marker>
            <c:symbol val="none"/>
          </c:marker>
          <c:xVal>
            <c:numRef>
              <c:f>Foglio1!$L$53:$L$54</c:f>
              <c:numCache>
                <c:formatCode>General</c:formatCode>
                <c:ptCount val="2"/>
                <c:pt idx="0">
                  <c:v>1200</c:v>
                </c:pt>
                <c:pt idx="1">
                  <c:v>1200</c:v>
                </c:pt>
              </c:numCache>
            </c:numRef>
          </c:xVal>
          <c:yVal>
            <c:numRef>
              <c:f>Foglio1!$M$53:$M$54</c:f>
              <c:numCache>
                <c:formatCode>General</c:formatCode>
                <c:ptCount val="2"/>
                <c:pt idx="0">
                  <c:v>260</c:v>
                </c:pt>
                <c:pt idx="1">
                  <c:v>260</c:v>
                </c:pt>
              </c:numCache>
            </c:numRef>
          </c:yVal>
          <c:smooth val="0"/>
          <c:extLst>
            <c:ext xmlns:c16="http://schemas.microsoft.com/office/drawing/2014/chart" uri="{C3380CC4-5D6E-409C-BE32-E72D297353CC}">
              <c16:uniqueId val="{0000002B-D243-47DD-BC23-2C143A0A1D6B}"/>
            </c:ext>
          </c:extLst>
        </c:ser>
        <c:ser>
          <c:idx val="8"/>
          <c:order val="20"/>
          <c:spPr>
            <a:ln w="19050" cap="rnd">
              <a:solidFill>
                <a:schemeClr val="bg1">
                  <a:lumMod val="75000"/>
                </a:schemeClr>
              </a:solidFill>
              <a:round/>
            </a:ln>
            <a:effectLst/>
          </c:spPr>
          <c:marker>
            <c:symbol val="none"/>
          </c:marker>
          <c:xVal>
            <c:numRef>
              <c:f>Foglio1!$L$55:$L$56</c:f>
              <c:numCache>
                <c:formatCode>General</c:formatCode>
                <c:ptCount val="2"/>
                <c:pt idx="0">
                  <c:v>1200</c:v>
                </c:pt>
                <c:pt idx="1">
                  <c:v>1200</c:v>
                </c:pt>
              </c:numCache>
            </c:numRef>
          </c:xVal>
          <c:yVal>
            <c:numRef>
              <c:f>Foglio1!$M$55:$M$56</c:f>
              <c:numCache>
                <c:formatCode>General</c:formatCode>
                <c:ptCount val="2"/>
                <c:pt idx="0">
                  <c:v>0</c:v>
                </c:pt>
                <c:pt idx="1">
                  <c:v>0</c:v>
                </c:pt>
              </c:numCache>
            </c:numRef>
          </c:yVal>
          <c:smooth val="0"/>
          <c:extLst>
            <c:ext xmlns:c16="http://schemas.microsoft.com/office/drawing/2014/chart" uri="{C3380CC4-5D6E-409C-BE32-E72D297353CC}">
              <c16:uniqueId val="{0000002D-D243-47DD-BC23-2C143A0A1D6B}"/>
            </c:ext>
          </c:extLst>
        </c:ser>
        <c:ser>
          <c:idx val="9"/>
          <c:order val="21"/>
          <c:spPr>
            <a:ln w="19050" cap="rnd">
              <a:solidFill>
                <a:schemeClr val="bg1">
                  <a:lumMod val="75000"/>
                </a:schemeClr>
              </a:solidFill>
              <a:round/>
            </a:ln>
            <a:effectLst/>
          </c:spPr>
          <c:marker>
            <c:symbol val="none"/>
          </c:marker>
          <c:xVal>
            <c:numRef>
              <c:f>Foglio1!$L$57:$L$58</c:f>
              <c:numCache>
                <c:formatCode>General</c:formatCode>
                <c:ptCount val="2"/>
                <c:pt idx="0">
                  <c:v>1200</c:v>
                </c:pt>
                <c:pt idx="1">
                  <c:v>1200</c:v>
                </c:pt>
              </c:numCache>
            </c:numRef>
          </c:xVal>
          <c:yVal>
            <c:numRef>
              <c:f>Foglio1!$M$57:$M$58</c:f>
              <c:numCache>
                <c:formatCode>General</c:formatCode>
                <c:ptCount val="2"/>
                <c:pt idx="0">
                  <c:v>0</c:v>
                </c:pt>
                <c:pt idx="1">
                  <c:v>0</c:v>
                </c:pt>
              </c:numCache>
            </c:numRef>
          </c:yVal>
          <c:smooth val="0"/>
          <c:extLst>
            <c:ext xmlns:c16="http://schemas.microsoft.com/office/drawing/2014/chart" uri="{C3380CC4-5D6E-409C-BE32-E72D297353CC}">
              <c16:uniqueId val="{0000002F-D243-47DD-BC23-2C143A0A1D6B}"/>
            </c:ext>
          </c:extLst>
        </c:ser>
        <c:ser>
          <c:idx val="10"/>
          <c:order val="22"/>
          <c:spPr>
            <a:ln w="19050" cap="rnd">
              <a:solidFill>
                <a:schemeClr val="bg1">
                  <a:lumMod val="75000"/>
                </a:schemeClr>
              </a:solidFill>
              <a:round/>
            </a:ln>
            <a:effectLst/>
          </c:spPr>
          <c:marker>
            <c:symbol val="none"/>
          </c:marker>
          <c:xVal>
            <c:numRef>
              <c:f>Foglio1!$L$59:$L$60</c:f>
              <c:numCache>
                <c:formatCode>General</c:formatCode>
                <c:ptCount val="2"/>
                <c:pt idx="0">
                  <c:v>1200</c:v>
                </c:pt>
                <c:pt idx="1">
                  <c:v>1200</c:v>
                </c:pt>
              </c:numCache>
            </c:numRef>
          </c:xVal>
          <c:yVal>
            <c:numRef>
              <c:f>Foglio1!$M$59:$M$60</c:f>
              <c:numCache>
                <c:formatCode>General</c:formatCode>
                <c:ptCount val="2"/>
                <c:pt idx="0">
                  <c:v>0</c:v>
                </c:pt>
                <c:pt idx="1">
                  <c:v>0</c:v>
                </c:pt>
              </c:numCache>
            </c:numRef>
          </c:yVal>
          <c:smooth val="0"/>
          <c:extLst>
            <c:ext xmlns:c16="http://schemas.microsoft.com/office/drawing/2014/chart" uri="{C3380CC4-5D6E-409C-BE32-E72D297353CC}">
              <c16:uniqueId val="{00000031-D243-47DD-BC23-2C143A0A1D6B}"/>
            </c:ext>
          </c:extLst>
        </c:ser>
        <c:ser>
          <c:idx val="11"/>
          <c:order val="23"/>
          <c:spPr>
            <a:ln w="19050" cap="rnd">
              <a:solidFill>
                <a:sysClr val="windowText" lastClr="000000"/>
              </a:solidFill>
              <a:round/>
            </a:ln>
            <a:effectLst/>
          </c:spPr>
          <c:marker>
            <c:symbol val="none"/>
          </c:marker>
          <c:xVal>
            <c:numRef>
              <c:f>Foglio1!$L$61:$L$62</c:f>
              <c:numCache>
                <c:formatCode>General</c:formatCode>
                <c:ptCount val="2"/>
                <c:pt idx="0">
                  <c:v>1200</c:v>
                </c:pt>
                <c:pt idx="1">
                  <c:v>2200</c:v>
                </c:pt>
              </c:numCache>
            </c:numRef>
          </c:xVal>
          <c:yVal>
            <c:numRef>
              <c:f>Foglio1!$M$61:$M$62</c:f>
              <c:numCache>
                <c:formatCode>General</c:formatCode>
                <c:ptCount val="2"/>
                <c:pt idx="0">
                  <c:v>260</c:v>
                </c:pt>
                <c:pt idx="1">
                  <c:v>260</c:v>
                </c:pt>
              </c:numCache>
            </c:numRef>
          </c:yVal>
          <c:smooth val="0"/>
          <c:extLst>
            <c:ext xmlns:c16="http://schemas.microsoft.com/office/drawing/2014/chart" uri="{C3380CC4-5D6E-409C-BE32-E72D297353CC}">
              <c16:uniqueId val="{00000033-D243-47DD-BC23-2C143A0A1D6B}"/>
            </c:ext>
          </c:extLst>
        </c:ser>
        <c:ser>
          <c:idx val="24"/>
          <c:order val="24"/>
          <c:tx>
            <c:v>v1</c:v>
          </c:tx>
          <c:spPr>
            <a:ln>
              <a:solidFill>
                <a:schemeClr val="tx1"/>
              </a:solidFill>
            </a:ln>
          </c:spPr>
          <c:marker>
            <c:symbol val="none"/>
          </c:marker>
          <c:xVal>
            <c:numRef>
              <c:f>Foglio1!$I$65:$I$66</c:f>
              <c:numCache>
                <c:formatCode>General</c:formatCode>
                <c:ptCount val="2"/>
                <c:pt idx="0">
                  <c:v>1000</c:v>
                </c:pt>
                <c:pt idx="1">
                  <c:v>1000</c:v>
                </c:pt>
              </c:numCache>
            </c:numRef>
          </c:xVal>
          <c:yVal>
            <c:numRef>
              <c:f>Foglio1!$J$65:$J$66</c:f>
              <c:numCache>
                <c:formatCode>General</c:formatCode>
                <c:ptCount val="2"/>
                <c:pt idx="0">
                  <c:v>0</c:v>
                </c:pt>
                <c:pt idx="1">
                  <c:v>260</c:v>
                </c:pt>
              </c:numCache>
            </c:numRef>
          </c:yVal>
          <c:smooth val="0"/>
          <c:extLst>
            <c:ext xmlns:c16="http://schemas.microsoft.com/office/drawing/2014/chart" uri="{C3380CC4-5D6E-409C-BE32-E72D297353CC}">
              <c16:uniqueId val="{00000040-D243-47DD-BC23-2C143A0A1D6B}"/>
            </c:ext>
          </c:extLst>
        </c:ser>
        <c:ser>
          <c:idx val="25"/>
          <c:order val="25"/>
          <c:tx>
            <c:v>V2</c:v>
          </c:tx>
          <c:spPr>
            <a:ln>
              <a:solidFill>
                <a:schemeClr val="tx1"/>
              </a:solidFill>
            </a:ln>
          </c:spPr>
          <c:marker>
            <c:symbol val="none"/>
          </c:marker>
          <c:xVal>
            <c:numRef>
              <c:f>Foglio1!$I$67:$I$68</c:f>
              <c:numCache>
                <c:formatCode>General</c:formatCode>
                <c:ptCount val="2"/>
                <c:pt idx="0">
                  <c:v>1200</c:v>
                </c:pt>
                <c:pt idx="1">
                  <c:v>1200</c:v>
                </c:pt>
              </c:numCache>
            </c:numRef>
          </c:xVal>
          <c:yVal>
            <c:numRef>
              <c:f>Foglio1!$J$67:$J$68</c:f>
              <c:numCache>
                <c:formatCode>General</c:formatCode>
                <c:ptCount val="2"/>
                <c:pt idx="0">
                  <c:v>0</c:v>
                </c:pt>
                <c:pt idx="1">
                  <c:v>260</c:v>
                </c:pt>
              </c:numCache>
            </c:numRef>
          </c:yVal>
          <c:smooth val="0"/>
          <c:extLst>
            <c:ext xmlns:c16="http://schemas.microsoft.com/office/drawing/2014/chart" uri="{C3380CC4-5D6E-409C-BE32-E72D297353CC}">
              <c16:uniqueId val="{00000041-D243-47DD-BC23-2C143A0A1D6B}"/>
            </c:ext>
          </c:extLst>
        </c:ser>
        <c:ser>
          <c:idx val="26"/>
          <c:order val="26"/>
          <c:tx>
            <c:v>Visx</c:v>
          </c:tx>
          <c:spPr>
            <a:ln w="38100">
              <a:solidFill>
                <a:srgbClr val="FF0000"/>
              </a:solidFill>
            </a:ln>
          </c:spPr>
          <c:marker>
            <c:symbol val="none"/>
          </c:marker>
          <c:xVal>
            <c:numRef>
              <c:f>Foglio1!$I$73:$I$74</c:f>
              <c:numCache>
                <c:formatCode>General</c:formatCode>
                <c:ptCount val="2"/>
                <c:pt idx="0">
                  <c:v>730</c:v>
                </c:pt>
                <c:pt idx="1">
                  <c:v>1180</c:v>
                </c:pt>
              </c:numCache>
            </c:numRef>
          </c:xVal>
          <c:yVal>
            <c:numRef>
              <c:f>Foglio1!$J$73:$J$74</c:f>
              <c:numCache>
                <c:formatCode>General</c:formatCode>
                <c:ptCount val="2"/>
                <c:pt idx="0">
                  <c:v>45</c:v>
                </c:pt>
                <c:pt idx="1">
                  <c:v>45</c:v>
                </c:pt>
              </c:numCache>
            </c:numRef>
          </c:yVal>
          <c:smooth val="0"/>
          <c:extLst>
            <c:ext xmlns:c16="http://schemas.microsoft.com/office/drawing/2014/chart" uri="{C3380CC4-5D6E-409C-BE32-E72D297353CC}">
              <c16:uniqueId val="{00000042-D243-47DD-BC23-2C143A0A1D6B}"/>
            </c:ext>
          </c:extLst>
        </c:ser>
        <c:ser>
          <c:idx val="27"/>
          <c:order val="27"/>
          <c:tx>
            <c:v>vidx</c:v>
          </c:tx>
          <c:spPr>
            <a:ln w="38100">
              <a:solidFill>
                <a:srgbClr val="FF0000"/>
              </a:solidFill>
            </a:ln>
          </c:spPr>
          <c:marker>
            <c:symbol val="none"/>
          </c:marker>
          <c:xVal>
            <c:numRef>
              <c:f>Foglio1!$M$73:$M$74</c:f>
              <c:numCache>
                <c:formatCode>General</c:formatCode>
                <c:ptCount val="2"/>
                <c:pt idx="0">
                  <c:v>1020</c:v>
                </c:pt>
                <c:pt idx="1">
                  <c:v>1470</c:v>
                </c:pt>
              </c:numCache>
            </c:numRef>
          </c:xVal>
          <c:yVal>
            <c:numRef>
              <c:f>Foglio1!$N$73:$N$74</c:f>
              <c:numCache>
                <c:formatCode>General</c:formatCode>
                <c:ptCount val="2"/>
                <c:pt idx="0">
                  <c:v>55</c:v>
                </c:pt>
                <c:pt idx="1">
                  <c:v>55</c:v>
                </c:pt>
              </c:numCache>
            </c:numRef>
          </c:yVal>
          <c:smooth val="0"/>
          <c:extLst>
            <c:ext xmlns:c16="http://schemas.microsoft.com/office/drawing/2014/chart" uri="{C3380CC4-5D6E-409C-BE32-E72D297353CC}">
              <c16:uniqueId val="{00000043-D243-47DD-BC23-2C143A0A1D6B}"/>
            </c:ext>
          </c:extLst>
        </c:ser>
        <c:ser>
          <c:idx val="28"/>
          <c:order val="28"/>
          <c:tx>
            <c:v>Vssx</c:v>
          </c:tx>
          <c:spPr>
            <a:ln w="28575">
              <a:solidFill>
                <a:srgbClr val="0070C0"/>
              </a:solidFill>
            </a:ln>
          </c:spPr>
          <c:marker>
            <c:symbol val="none"/>
          </c:marker>
          <c:xVal>
            <c:numRef>
              <c:f>Foglio1!$I$77:$I$78</c:f>
              <c:numCache>
                <c:formatCode>General</c:formatCode>
                <c:ptCount val="2"/>
                <c:pt idx="0">
                  <c:v>730</c:v>
                </c:pt>
                <c:pt idx="1">
                  <c:v>1180</c:v>
                </c:pt>
              </c:numCache>
            </c:numRef>
          </c:xVal>
          <c:yVal>
            <c:numRef>
              <c:f>Foglio1!$J$77:$J$78</c:f>
              <c:numCache>
                <c:formatCode>General</c:formatCode>
                <c:ptCount val="2"/>
                <c:pt idx="0">
                  <c:v>215</c:v>
                </c:pt>
                <c:pt idx="1">
                  <c:v>215</c:v>
                </c:pt>
              </c:numCache>
            </c:numRef>
          </c:yVal>
          <c:smooth val="0"/>
          <c:extLst>
            <c:ext xmlns:c16="http://schemas.microsoft.com/office/drawing/2014/chart" uri="{C3380CC4-5D6E-409C-BE32-E72D297353CC}">
              <c16:uniqueId val="{00000044-D243-47DD-BC23-2C143A0A1D6B}"/>
            </c:ext>
          </c:extLst>
        </c:ser>
        <c:ser>
          <c:idx val="29"/>
          <c:order val="29"/>
          <c:tx>
            <c:v>vsdx</c:v>
          </c:tx>
          <c:spPr>
            <a:ln w="28575">
              <a:solidFill>
                <a:srgbClr val="0070C0"/>
              </a:solidFill>
            </a:ln>
          </c:spPr>
          <c:marker>
            <c:symbol val="none"/>
          </c:marker>
          <c:xVal>
            <c:numRef>
              <c:f>Foglio1!$M$77:$M$78</c:f>
              <c:numCache>
                <c:formatCode>General</c:formatCode>
                <c:ptCount val="2"/>
                <c:pt idx="0">
                  <c:v>1020</c:v>
                </c:pt>
                <c:pt idx="1">
                  <c:v>1470</c:v>
                </c:pt>
              </c:numCache>
            </c:numRef>
          </c:xVal>
          <c:yVal>
            <c:numRef>
              <c:f>Foglio1!$N$77:$N$78</c:f>
              <c:numCache>
                <c:formatCode>General</c:formatCode>
                <c:ptCount val="2"/>
                <c:pt idx="0">
                  <c:v>225</c:v>
                </c:pt>
                <c:pt idx="1">
                  <c:v>225</c:v>
                </c:pt>
              </c:numCache>
            </c:numRef>
          </c:yVal>
          <c:smooth val="0"/>
          <c:extLst>
            <c:ext xmlns:c16="http://schemas.microsoft.com/office/drawing/2014/chart" uri="{C3380CC4-5D6E-409C-BE32-E72D297353CC}">
              <c16:uniqueId val="{00000045-D243-47DD-BC23-2C143A0A1D6B}"/>
            </c:ext>
          </c:extLst>
        </c:ser>
        <c:ser>
          <c:idx val="30"/>
          <c:order val="30"/>
          <c:tx>
            <c:v>tavoletta</c:v>
          </c:tx>
          <c:spPr>
            <a:ln>
              <a:solidFill>
                <a:schemeClr val="tx1">
                  <a:lumMod val="75000"/>
                  <a:lumOff val="25000"/>
                </a:schemeClr>
              </a:solidFill>
            </a:ln>
          </c:spPr>
          <c:marker>
            <c:symbol val="none"/>
          </c:marker>
          <c:xVal>
            <c:numRef>
              <c:f>Foglio1!$I$82:$I$83</c:f>
              <c:numCache>
                <c:formatCode>General</c:formatCode>
                <c:ptCount val="2"/>
                <c:pt idx="0">
                  <c:v>970</c:v>
                </c:pt>
                <c:pt idx="1">
                  <c:v>1230</c:v>
                </c:pt>
              </c:numCache>
            </c:numRef>
          </c:xVal>
          <c:yVal>
            <c:numRef>
              <c:f>Foglio1!$J$82:$J$83</c:f>
              <c:numCache>
                <c:formatCode>General</c:formatCode>
                <c:ptCount val="2"/>
                <c:pt idx="0">
                  <c:v>0</c:v>
                </c:pt>
                <c:pt idx="1">
                  <c:v>0</c:v>
                </c:pt>
              </c:numCache>
            </c:numRef>
          </c:yVal>
          <c:smooth val="0"/>
          <c:extLst>
            <c:ext xmlns:c16="http://schemas.microsoft.com/office/drawing/2014/chart" uri="{C3380CC4-5D6E-409C-BE32-E72D297353CC}">
              <c16:uniqueId val="{00000046-D243-47DD-BC23-2C143A0A1D6B}"/>
            </c:ext>
          </c:extLst>
        </c:ser>
        <c:ser>
          <c:idx val="31"/>
          <c:order val="31"/>
          <c:tx>
            <c:v>tav2</c:v>
          </c:tx>
          <c:spPr>
            <a:ln>
              <a:solidFill>
                <a:schemeClr val="tx1">
                  <a:lumMod val="75000"/>
                  <a:lumOff val="25000"/>
                </a:schemeClr>
              </a:solidFill>
            </a:ln>
          </c:spPr>
          <c:marker>
            <c:symbol val="none"/>
          </c:marker>
          <c:xVal>
            <c:numRef>
              <c:f>Foglio1!$I$85:$I$86</c:f>
              <c:numCache>
                <c:formatCode>General</c:formatCode>
                <c:ptCount val="2"/>
                <c:pt idx="0">
                  <c:v>970</c:v>
                </c:pt>
                <c:pt idx="1">
                  <c:v>1230</c:v>
                </c:pt>
              </c:numCache>
            </c:numRef>
          </c:xVal>
          <c:yVal>
            <c:numRef>
              <c:f>Foglio1!$J$85:$J$86</c:f>
              <c:numCache>
                <c:formatCode>General</c:formatCode>
                <c:ptCount val="2"/>
                <c:pt idx="0">
                  <c:v>0</c:v>
                </c:pt>
                <c:pt idx="1">
                  <c:v>0</c:v>
                </c:pt>
              </c:numCache>
            </c:numRef>
          </c:yVal>
          <c:smooth val="0"/>
          <c:extLst>
            <c:ext xmlns:c16="http://schemas.microsoft.com/office/drawing/2014/chart" uri="{C3380CC4-5D6E-409C-BE32-E72D297353CC}">
              <c16:uniqueId val="{00000047-D243-47DD-BC23-2C143A0A1D6B}"/>
            </c:ext>
          </c:extLst>
        </c:ser>
        <c:ser>
          <c:idx val="32"/>
          <c:order val="32"/>
          <c:tx>
            <c:v>tav3</c:v>
          </c:tx>
          <c:spPr>
            <a:ln>
              <a:solidFill>
                <a:schemeClr val="tx1">
                  <a:lumMod val="75000"/>
                  <a:lumOff val="25000"/>
                </a:schemeClr>
              </a:solidFill>
            </a:ln>
          </c:spPr>
          <c:marker>
            <c:symbol val="none"/>
          </c:marker>
          <c:xVal>
            <c:numRef>
              <c:f>Foglio1!$I$88:$I$89</c:f>
              <c:numCache>
                <c:formatCode>General</c:formatCode>
                <c:ptCount val="2"/>
                <c:pt idx="0">
                  <c:v>970</c:v>
                </c:pt>
                <c:pt idx="1">
                  <c:v>970</c:v>
                </c:pt>
              </c:numCache>
            </c:numRef>
          </c:xVal>
          <c:yVal>
            <c:numRef>
              <c:f>Foglio1!$J$88:$J$89</c:f>
              <c:numCache>
                <c:formatCode>General</c:formatCode>
                <c:ptCount val="2"/>
                <c:pt idx="0">
                  <c:v>0</c:v>
                </c:pt>
                <c:pt idx="1">
                  <c:v>0</c:v>
                </c:pt>
              </c:numCache>
            </c:numRef>
          </c:yVal>
          <c:smooth val="0"/>
          <c:extLst>
            <c:ext xmlns:c16="http://schemas.microsoft.com/office/drawing/2014/chart" uri="{C3380CC4-5D6E-409C-BE32-E72D297353CC}">
              <c16:uniqueId val="{00000048-D243-47DD-BC23-2C143A0A1D6B}"/>
            </c:ext>
          </c:extLst>
        </c:ser>
        <c:ser>
          <c:idx val="33"/>
          <c:order val="33"/>
          <c:tx>
            <c:v>tav4</c:v>
          </c:tx>
          <c:spPr>
            <a:ln>
              <a:solidFill>
                <a:schemeClr val="tx1">
                  <a:lumMod val="75000"/>
                  <a:lumOff val="25000"/>
                </a:schemeClr>
              </a:solidFill>
            </a:ln>
          </c:spPr>
          <c:marker>
            <c:symbol val="none"/>
          </c:marker>
          <c:xVal>
            <c:numRef>
              <c:f>Foglio1!$I$91:$I$92</c:f>
              <c:numCache>
                <c:formatCode>General</c:formatCode>
                <c:ptCount val="2"/>
                <c:pt idx="0">
                  <c:v>1230</c:v>
                </c:pt>
                <c:pt idx="1">
                  <c:v>1230</c:v>
                </c:pt>
              </c:numCache>
            </c:numRef>
          </c:xVal>
          <c:yVal>
            <c:numRef>
              <c:f>Foglio1!$J$91:$J$92</c:f>
              <c:numCache>
                <c:formatCode>General</c:formatCode>
                <c:ptCount val="2"/>
                <c:pt idx="0">
                  <c:v>0</c:v>
                </c:pt>
                <c:pt idx="1">
                  <c:v>0</c:v>
                </c:pt>
              </c:numCache>
            </c:numRef>
          </c:yVal>
          <c:smooth val="0"/>
          <c:extLst>
            <c:ext xmlns:c16="http://schemas.microsoft.com/office/drawing/2014/chart" uri="{C3380CC4-5D6E-409C-BE32-E72D297353CC}">
              <c16:uniqueId val="{00000049-D243-47DD-BC23-2C143A0A1D6B}"/>
            </c:ext>
          </c:extLst>
        </c:ser>
        <c:ser>
          <c:idx val="34"/>
          <c:order val="34"/>
          <c:tx>
            <c:v>conc</c:v>
          </c:tx>
          <c:spPr>
            <a:ln>
              <a:solidFill>
                <a:schemeClr val="bg1">
                  <a:lumMod val="75000"/>
                </a:schemeClr>
              </a:solidFill>
            </a:ln>
          </c:spPr>
          <c:marker>
            <c:symbol val="none"/>
          </c:marker>
          <c:xVal>
            <c:numRef>
              <c:f>Foglio1!$I$95:$I$96</c:f>
              <c:numCache>
                <c:formatCode>General</c:formatCode>
                <c:ptCount val="2"/>
                <c:pt idx="0">
                  <c:v>1000</c:v>
                </c:pt>
                <c:pt idx="1">
                  <c:v>1200</c:v>
                </c:pt>
              </c:numCache>
            </c:numRef>
          </c:xVal>
          <c:yVal>
            <c:numRef>
              <c:f>Foglio1!$J$95:$J$96</c:f>
              <c:numCache>
                <c:formatCode>General</c:formatCode>
                <c:ptCount val="2"/>
                <c:pt idx="0">
                  <c:v>260</c:v>
                </c:pt>
                <c:pt idx="1">
                  <c:v>260</c:v>
                </c:pt>
              </c:numCache>
            </c:numRef>
          </c:yVal>
          <c:smooth val="0"/>
          <c:extLst>
            <c:ext xmlns:c16="http://schemas.microsoft.com/office/drawing/2014/chart" uri="{C3380CC4-5D6E-409C-BE32-E72D297353CC}">
              <c16:uniqueId val="{0000004A-D243-47DD-BC23-2C143A0A1D6B}"/>
            </c:ext>
          </c:extLst>
        </c:ser>
        <c:ser>
          <c:idx val="35"/>
          <c:order val="35"/>
          <c:spPr>
            <a:ln>
              <a:solidFill>
                <a:schemeClr val="bg1">
                  <a:lumMod val="65000"/>
                </a:schemeClr>
              </a:solidFill>
            </a:ln>
          </c:spPr>
          <c:marker>
            <c:symbol val="none"/>
          </c:marker>
          <c:xVal>
            <c:numRef>
              <c:f>Foglio1!$AJ$45:$AJ$49</c:f>
              <c:numCache>
                <c:formatCode>General</c:formatCode>
                <c:ptCount val="5"/>
                <c:pt idx="0">
                  <c:v>1020</c:v>
                </c:pt>
                <c:pt idx="1">
                  <c:v>1020</c:v>
                </c:pt>
                <c:pt idx="2">
                  <c:v>1180</c:v>
                </c:pt>
                <c:pt idx="3">
                  <c:v>1180</c:v>
                </c:pt>
                <c:pt idx="4">
                  <c:v>1020</c:v>
                </c:pt>
              </c:numCache>
            </c:numRef>
          </c:xVal>
          <c:yVal>
            <c:numRef>
              <c:f>Foglio1!$AK$45:$AK$49</c:f>
              <c:numCache>
                <c:formatCode>General</c:formatCode>
                <c:ptCount val="5"/>
                <c:pt idx="0">
                  <c:v>20</c:v>
                </c:pt>
                <c:pt idx="1">
                  <c:v>240</c:v>
                </c:pt>
                <c:pt idx="2">
                  <c:v>240</c:v>
                </c:pt>
                <c:pt idx="3">
                  <c:v>20</c:v>
                </c:pt>
                <c:pt idx="4">
                  <c:v>20</c:v>
                </c:pt>
              </c:numCache>
            </c:numRef>
          </c:yVal>
          <c:smooth val="0"/>
          <c:extLst>
            <c:ext xmlns:c16="http://schemas.microsoft.com/office/drawing/2014/chart" uri="{C3380CC4-5D6E-409C-BE32-E72D297353CC}">
              <c16:uniqueId val="{00000000-424F-4C01-97C9-7039D9A3D8B2}"/>
            </c:ext>
          </c:extLst>
        </c:ser>
        <c:ser>
          <c:idx val="36"/>
          <c:order val="36"/>
          <c:tx>
            <c:v>F1</c:v>
          </c:tx>
          <c:spPr>
            <a:ln>
              <a:solidFill>
                <a:schemeClr val="tx1">
                  <a:lumMod val="75000"/>
                  <a:lumOff val="25000"/>
                </a:schemeClr>
              </a:solidFill>
            </a:ln>
          </c:spPr>
          <c:marker>
            <c:symbol val="circle"/>
            <c:size val="5"/>
            <c:spPr>
              <a:solidFill>
                <a:schemeClr val="bg1">
                  <a:lumMod val="85000"/>
                </a:schemeClr>
              </a:solidFill>
              <a:ln>
                <a:solidFill>
                  <a:schemeClr val="tx1">
                    <a:lumMod val="75000"/>
                    <a:lumOff val="25000"/>
                  </a:schemeClr>
                </a:solidFill>
              </a:ln>
            </c:spPr>
          </c:marker>
          <c:dPt>
            <c:idx val="0"/>
            <c:marker>
              <c:symbol val="circle"/>
              <c:size val="8"/>
            </c:marker>
            <c:bubble3D val="0"/>
            <c:extLst>
              <c:ext xmlns:c16="http://schemas.microsoft.com/office/drawing/2014/chart" uri="{C3380CC4-5D6E-409C-BE32-E72D297353CC}">
                <c16:uniqueId val="{00000001-FE85-4EE6-BA25-F8AD53F7CF64}"/>
              </c:ext>
            </c:extLst>
          </c:dPt>
          <c:xVal>
            <c:numRef>
              <c:f>Foglio1!$AJ$52</c:f>
              <c:numCache>
                <c:formatCode>General</c:formatCode>
                <c:ptCount val="1"/>
                <c:pt idx="0">
                  <c:v>1028</c:v>
                </c:pt>
              </c:numCache>
            </c:numRef>
          </c:xVal>
          <c:yVal>
            <c:numRef>
              <c:f>Foglio1!$AK$52</c:f>
              <c:numCache>
                <c:formatCode>General</c:formatCode>
                <c:ptCount val="1"/>
                <c:pt idx="0">
                  <c:v>24</c:v>
                </c:pt>
              </c:numCache>
            </c:numRef>
          </c:yVal>
          <c:smooth val="0"/>
          <c:extLst>
            <c:ext xmlns:c16="http://schemas.microsoft.com/office/drawing/2014/chart" uri="{C3380CC4-5D6E-409C-BE32-E72D297353CC}">
              <c16:uniqueId val="{00000000-FE85-4EE6-BA25-F8AD53F7CF64}"/>
            </c:ext>
          </c:extLst>
        </c:ser>
        <c:ser>
          <c:idx val="37"/>
          <c:order val="37"/>
          <c:tx>
            <c:v>F2</c:v>
          </c:tx>
          <c:spPr>
            <a:ln>
              <a:solidFill>
                <a:schemeClr val="tx1">
                  <a:lumMod val="75000"/>
                  <a:lumOff val="25000"/>
                </a:schemeClr>
              </a:solidFill>
            </a:ln>
          </c:spPr>
          <c:marker>
            <c:symbol val="circle"/>
            <c:size val="10"/>
            <c:spPr>
              <a:solidFill>
                <a:schemeClr val="bg1">
                  <a:lumMod val="85000"/>
                </a:schemeClr>
              </a:solidFill>
              <a:ln>
                <a:solidFill>
                  <a:schemeClr val="tx1">
                    <a:lumMod val="75000"/>
                    <a:lumOff val="25000"/>
                  </a:schemeClr>
                </a:solidFill>
              </a:ln>
            </c:spPr>
          </c:marker>
          <c:xVal>
            <c:numRef>
              <c:f>Foglio1!$AJ$53</c:f>
              <c:numCache>
                <c:formatCode>General</c:formatCode>
                <c:ptCount val="1"/>
                <c:pt idx="0">
                  <c:v>1028</c:v>
                </c:pt>
              </c:numCache>
            </c:numRef>
          </c:xVal>
          <c:yVal>
            <c:numRef>
              <c:f>Foglio1!$AK$53</c:f>
              <c:numCache>
                <c:formatCode>General</c:formatCode>
                <c:ptCount val="1"/>
                <c:pt idx="0">
                  <c:v>236</c:v>
                </c:pt>
              </c:numCache>
            </c:numRef>
          </c:yVal>
          <c:smooth val="0"/>
          <c:extLst>
            <c:ext xmlns:c16="http://schemas.microsoft.com/office/drawing/2014/chart" uri="{C3380CC4-5D6E-409C-BE32-E72D297353CC}">
              <c16:uniqueId val="{00000002-FE85-4EE6-BA25-F8AD53F7CF64}"/>
            </c:ext>
          </c:extLst>
        </c:ser>
        <c:ser>
          <c:idx val="38"/>
          <c:order val="38"/>
          <c:tx>
            <c:v>F3</c:v>
          </c:tx>
          <c:spPr>
            <a:ln>
              <a:solidFill>
                <a:schemeClr val="tx1">
                  <a:lumMod val="75000"/>
                  <a:lumOff val="25000"/>
                </a:schemeClr>
              </a:solidFill>
            </a:ln>
          </c:spPr>
          <c:marker>
            <c:symbol val="circle"/>
            <c:size val="10"/>
            <c:spPr>
              <a:solidFill>
                <a:schemeClr val="bg1">
                  <a:lumMod val="85000"/>
                </a:schemeClr>
              </a:solidFill>
              <a:ln>
                <a:solidFill>
                  <a:schemeClr val="tx1">
                    <a:lumMod val="75000"/>
                    <a:lumOff val="25000"/>
                  </a:schemeClr>
                </a:solidFill>
              </a:ln>
            </c:spPr>
          </c:marker>
          <c:xVal>
            <c:numRef>
              <c:f>Foglio1!$AJ$54</c:f>
              <c:numCache>
                <c:formatCode>General</c:formatCode>
                <c:ptCount val="1"/>
                <c:pt idx="0">
                  <c:v>1172</c:v>
                </c:pt>
              </c:numCache>
            </c:numRef>
          </c:xVal>
          <c:yVal>
            <c:numRef>
              <c:f>Foglio1!$AK$54</c:f>
              <c:numCache>
                <c:formatCode>General</c:formatCode>
                <c:ptCount val="1"/>
                <c:pt idx="0">
                  <c:v>24</c:v>
                </c:pt>
              </c:numCache>
            </c:numRef>
          </c:yVal>
          <c:smooth val="0"/>
          <c:extLst>
            <c:ext xmlns:c16="http://schemas.microsoft.com/office/drawing/2014/chart" uri="{C3380CC4-5D6E-409C-BE32-E72D297353CC}">
              <c16:uniqueId val="{00000003-FE85-4EE6-BA25-F8AD53F7CF64}"/>
            </c:ext>
          </c:extLst>
        </c:ser>
        <c:ser>
          <c:idx val="39"/>
          <c:order val="39"/>
          <c:tx>
            <c:v>F4</c:v>
          </c:tx>
          <c:spPr>
            <a:ln>
              <a:solidFill>
                <a:schemeClr val="tx1">
                  <a:lumMod val="75000"/>
                  <a:lumOff val="25000"/>
                </a:schemeClr>
              </a:solidFill>
            </a:ln>
          </c:spPr>
          <c:marker>
            <c:symbol val="circle"/>
            <c:size val="10"/>
            <c:spPr>
              <a:solidFill>
                <a:schemeClr val="bg1">
                  <a:lumMod val="85000"/>
                </a:schemeClr>
              </a:solidFill>
              <a:ln>
                <a:solidFill>
                  <a:schemeClr val="tx1">
                    <a:lumMod val="75000"/>
                    <a:lumOff val="25000"/>
                  </a:schemeClr>
                </a:solidFill>
              </a:ln>
            </c:spPr>
          </c:marker>
          <c:xVal>
            <c:numRef>
              <c:f>Foglio1!$AJ$55</c:f>
              <c:numCache>
                <c:formatCode>General</c:formatCode>
                <c:ptCount val="1"/>
                <c:pt idx="0">
                  <c:v>1172</c:v>
                </c:pt>
              </c:numCache>
            </c:numRef>
          </c:xVal>
          <c:yVal>
            <c:numRef>
              <c:f>Foglio1!$AK$55</c:f>
              <c:numCache>
                <c:formatCode>General</c:formatCode>
                <c:ptCount val="1"/>
                <c:pt idx="0">
                  <c:v>236</c:v>
                </c:pt>
              </c:numCache>
            </c:numRef>
          </c:yVal>
          <c:smooth val="0"/>
          <c:extLst>
            <c:ext xmlns:c16="http://schemas.microsoft.com/office/drawing/2014/chart" uri="{C3380CC4-5D6E-409C-BE32-E72D297353CC}">
              <c16:uniqueId val="{00000004-FE85-4EE6-BA25-F8AD53F7CF64}"/>
            </c:ext>
          </c:extLst>
        </c:ser>
        <c:dLbls>
          <c:showLegendKey val="0"/>
          <c:showVal val="0"/>
          <c:showCatName val="0"/>
          <c:showSerName val="0"/>
          <c:showPercent val="0"/>
          <c:showBubbleSize val="0"/>
        </c:dLbls>
        <c:axId val="1450325407"/>
        <c:axId val="1450326847"/>
      </c:scatterChart>
      <c:valAx>
        <c:axId val="1450325407"/>
        <c:scaling>
          <c:orientation val="minMax"/>
        </c:scaling>
        <c:delete val="0"/>
        <c:axPos val="b"/>
        <c:majorGridlines>
          <c:spPr>
            <a:ln w="9525" cap="flat" cmpd="sng" algn="ctr">
              <a:noFill/>
              <a:round/>
            </a:ln>
            <a:effectLst/>
          </c:spPr>
        </c:majorGridlines>
        <c:numFmt formatCode="General" sourceLinked="1"/>
        <c:majorTickMark val="out"/>
        <c:minorTickMark val="none"/>
        <c:tickLblPos val="nextTo"/>
        <c:crossAx val="1450326847"/>
        <c:crossesAt val="0"/>
        <c:crossBetween val="midCat"/>
        <c:majorUnit val="250"/>
        <c:minorUnit val="50"/>
      </c:valAx>
      <c:valAx>
        <c:axId val="1450326847"/>
        <c:scaling>
          <c:orientation val="minMax"/>
          <c:max val="300"/>
          <c:min val="0"/>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majorUnit val="40"/>
        <c:minorUnit val="20"/>
      </c:valAx>
    </c:plotArea>
    <c:plotVisOnly val="1"/>
    <c:dispBlanksAs val="gap"/>
    <c:showDLblsOverMax val="0"/>
    <c:extLst/>
  </c:chart>
  <c:txPr>
    <a:bodyPr/>
    <a:lstStyle/>
    <a:p>
      <a:pPr>
        <a:defRPr/>
      </a:pPr>
      <a:endParaRPr lang="it-I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793388429752067E-2"/>
          <c:y val="5.0764778473698972E-2"/>
          <c:w val="0.93939393939393945"/>
          <c:h val="0.89847044305260204"/>
        </c:manualLayout>
      </c:layout>
      <c:scatterChart>
        <c:scatterStyle val="lineMarker"/>
        <c:varyColors val="0"/>
        <c:ser>
          <c:idx val="0"/>
          <c:order val="0"/>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00-62C7-4BD3-892E-00F32D3D8B1C}"/>
            </c:ext>
          </c:extLst>
        </c:ser>
        <c:ser>
          <c:idx val="1"/>
          <c:order val="1"/>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01-62C7-4BD3-892E-00F32D3D8B1C}"/>
            </c:ext>
          </c:extLst>
        </c:ser>
        <c:ser>
          <c:idx val="2"/>
          <c:order val="2"/>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02-62C7-4BD3-892E-00F32D3D8B1C}"/>
            </c:ext>
          </c:extLst>
        </c:ser>
        <c:ser>
          <c:idx val="4"/>
          <c:order val="3"/>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04-62C7-4BD3-892E-00F32D3D8B1C}"/>
            </c:ext>
          </c:extLst>
        </c:ser>
        <c:ser>
          <c:idx val="3"/>
          <c:order val="4"/>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5-62C7-4BD3-892E-00F32D3D8B1C}"/>
            </c:ext>
          </c:extLst>
        </c:ser>
        <c:ser>
          <c:idx val="5"/>
          <c:order val="5"/>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0-4882-4FA7-8F40-48AD6DB5F956}"/>
            </c:ext>
          </c:extLst>
        </c:ser>
        <c:ser>
          <c:idx val="6"/>
          <c:order val="6"/>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1-4882-4FA7-8F40-48AD6DB5F956}"/>
            </c:ext>
          </c:extLst>
        </c:ser>
        <c:ser>
          <c:idx val="7"/>
          <c:order val="7"/>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3-4882-4FA7-8F40-48AD6DB5F956}"/>
            </c:ext>
          </c:extLst>
        </c:ser>
        <c:dLbls>
          <c:showLegendKey val="0"/>
          <c:showVal val="0"/>
          <c:showCatName val="0"/>
          <c:showSerName val="0"/>
          <c:showPercent val="0"/>
          <c:showBubbleSize val="0"/>
        </c:dLbls>
        <c:axId val="780359359"/>
        <c:axId val="780352159"/>
      </c:scatterChart>
      <c:valAx>
        <c:axId val="780359359"/>
        <c:scaling>
          <c:orientation val="minMax"/>
          <c:min val="-100"/>
        </c:scaling>
        <c:delete val="1"/>
        <c:axPos val="b"/>
        <c:numFmt formatCode="General" sourceLinked="1"/>
        <c:majorTickMark val="none"/>
        <c:minorTickMark val="none"/>
        <c:tickLblPos val="nextTo"/>
        <c:crossAx val="780352159"/>
        <c:crosses val="autoZero"/>
        <c:crossBetween val="midCat"/>
      </c:valAx>
      <c:valAx>
        <c:axId val="780352159"/>
        <c:scaling>
          <c:orientation val="minMax"/>
          <c:min val="-100"/>
        </c:scaling>
        <c:delete val="1"/>
        <c:axPos val="l"/>
        <c:numFmt formatCode="General" sourceLinked="1"/>
        <c:majorTickMark val="none"/>
        <c:minorTickMark val="none"/>
        <c:tickLblPos val="nextTo"/>
        <c:crossAx val="780359359"/>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49.png"/><Relationship Id="rId2" Type="http://schemas.openxmlformats.org/officeDocument/2006/relationships/hyperlink" Target="#'CALCOLI STS (slab to slab)'!I70"/><Relationship Id="rId1" Type="http://schemas.openxmlformats.org/officeDocument/2006/relationships/hyperlink" Target="#GEOMETRY!H28"/><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CALCOLI STS (slab to slab)'!I70"/><Relationship Id="rId1" Type="http://schemas.openxmlformats.org/officeDocument/2006/relationships/hyperlink" Target="#GEOMETRY!H36"/><Relationship Id="rId6" Type="http://schemas.openxmlformats.org/officeDocument/2006/relationships/image" Target="../media/image50.png"/><Relationship Id="rId5" Type="http://schemas.openxmlformats.org/officeDocument/2006/relationships/image" Target="../media/image56.png"/><Relationship Id="rId4" Type="http://schemas.openxmlformats.org/officeDocument/2006/relationships/image" Target="../media/image49.png"/></Relationships>
</file>

<file path=xl/drawings/_rels/drawing12.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8" Type="http://schemas.openxmlformats.org/officeDocument/2006/relationships/chart" Target="../charts/chart2.xml"/><Relationship Id="rId13" Type="http://schemas.openxmlformats.org/officeDocument/2006/relationships/image" Target="../media/image15.emf"/><Relationship Id="rId18" Type="http://schemas.openxmlformats.org/officeDocument/2006/relationships/image" Target="../media/image20.emf"/><Relationship Id="rId26" Type="http://schemas.openxmlformats.org/officeDocument/2006/relationships/image" Target="../media/image28.png"/><Relationship Id="rId3" Type="http://schemas.openxmlformats.org/officeDocument/2006/relationships/image" Target="../media/image8.emf"/><Relationship Id="rId21" Type="http://schemas.openxmlformats.org/officeDocument/2006/relationships/image" Target="../media/image23.emf"/><Relationship Id="rId7" Type="http://schemas.openxmlformats.org/officeDocument/2006/relationships/chart" Target="../charts/chart1.xml"/><Relationship Id="rId12" Type="http://schemas.openxmlformats.org/officeDocument/2006/relationships/image" Target="../media/image14.emf"/><Relationship Id="rId17" Type="http://schemas.openxmlformats.org/officeDocument/2006/relationships/image" Target="../media/image19.png"/><Relationship Id="rId25" Type="http://schemas.openxmlformats.org/officeDocument/2006/relationships/image" Target="../media/image27.png"/><Relationship Id="rId2" Type="http://schemas.openxmlformats.org/officeDocument/2006/relationships/image" Target="../media/image7.emf"/><Relationship Id="rId16" Type="http://schemas.openxmlformats.org/officeDocument/2006/relationships/image" Target="../media/image18.emf"/><Relationship Id="rId20" Type="http://schemas.openxmlformats.org/officeDocument/2006/relationships/image" Target="../media/image22.emf"/><Relationship Id="rId29" Type="http://schemas.openxmlformats.org/officeDocument/2006/relationships/image" Target="../media/image30.jpeg"/><Relationship Id="rId1" Type="http://schemas.openxmlformats.org/officeDocument/2006/relationships/image" Target="../media/image2.png"/><Relationship Id="rId6" Type="http://schemas.openxmlformats.org/officeDocument/2006/relationships/image" Target="../media/image11.emf"/><Relationship Id="rId11" Type="http://schemas.openxmlformats.org/officeDocument/2006/relationships/image" Target="../media/image13.emf"/><Relationship Id="rId24" Type="http://schemas.openxmlformats.org/officeDocument/2006/relationships/image" Target="../media/image26.png"/><Relationship Id="rId5" Type="http://schemas.openxmlformats.org/officeDocument/2006/relationships/image" Target="../media/image10.emf"/><Relationship Id="rId15" Type="http://schemas.openxmlformats.org/officeDocument/2006/relationships/image" Target="../media/image17.emf"/><Relationship Id="rId23" Type="http://schemas.openxmlformats.org/officeDocument/2006/relationships/image" Target="../media/image25.emf"/><Relationship Id="rId28" Type="http://schemas.openxmlformats.org/officeDocument/2006/relationships/image" Target="../media/image29.png"/><Relationship Id="rId10" Type="http://schemas.openxmlformats.org/officeDocument/2006/relationships/image" Target="../media/image12.emf"/><Relationship Id="rId19" Type="http://schemas.openxmlformats.org/officeDocument/2006/relationships/image" Target="../media/image21.emf"/><Relationship Id="rId4" Type="http://schemas.openxmlformats.org/officeDocument/2006/relationships/image" Target="../media/image9.emf"/><Relationship Id="rId9" Type="http://schemas.openxmlformats.org/officeDocument/2006/relationships/chart" Target="../charts/chart3.xml"/><Relationship Id="rId14" Type="http://schemas.openxmlformats.org/officeDocument/2006/relationships/image" Target="../media/image16.emf"/><Relationship Id="rId22" Type="http://schemas.openxmlformats.org/officeDocument/2006/relationships/image" Target="../media/image24.emf"/><Relationship Id="rId27"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hyperlink" Target="#GEOMETRY!H9"/><Relationship Id="rId1" Type="http://schemas.openxmlformats.org/officeDocument/2006/relationships/image" Target="../media/image49.png"/></Relationships>
</file>

<file path=xl/drawings/_rels/drawing5.xml.rels><?xml version="1.0" encoding="UTF-8" standalone="yes"?>
<Relationships xmlns="http://schemas.openxmlformats.org/package/2006/relationships"><Relationship Id="rId8" Type="http://schemas.openxmlformats.org/officeDocument/2006/relationships/hyperlink" Target="#SCREWS!B4"/><Relationship Id="rId13" Type="http://schemas.openxmlformats.org/officeDocument/2006/relationships/image" Target="../media/image51.png"/><Relationship Id="rId18" Type="http://schemas.openxmlformats.org/officeDocument/2006/relationships/image" Target="../media/image29.png"/><Relationship Id="rId3" Type="http://schemas.openxmlformats.org/officeDocument/2006/relationships/image" Target="../media/image49.png"/><Relationship Id="rId7" Type="http://schemas.openxmlformats.org/officeDocument/2006/relationships/chart" Target="../charts/chart6.xml"/><Relationship Id="rId12" Type="http://schemas.openxmlformats.org/officeDocument/2006/relationships/hyperlink" Target="#'CALCOLI STS (slab to slab)'!I70"/><Relationship Id="rId17" Type="http://schemas.openxmlformats.org/officeDocument/2006/relationships/image" Target="../media/image28.png"/><Relationship Id="rId2" Type="http://schemas.openxmlformats.org/officeDocument/2006/relationships/image" Target="../media/image50.png"/><Relationship Id="rId16" Type="http://schemas.openxmlformats.org/officeDocument/2006/relationships/image" Target="../media/image26.png"/><Relationship Id="rId20" Type="http://schemas.openxmlformats.org/officeDocument/2006/relationships/image" Target="../media/image30.jpeg"/><Relationship Id="rId1" Type="http://schemas.openxmlformats.org/officeDocument/2006/relationships/image" Target="../media/image4.png"/><Relationship Id="rId6" Type="http://schemas.openxmlformats.org/officeDocument/2006/relationships/chart" Target="../charts/chart5.xml"/><Relationship Id="rId11" Type="http://schemas.openxmlformats.org/officeDocument/2006/relationships/hyperlink" Target="#CLT!E4"/><Relationship Id="rId5" Type="http://schemas.openxmlformats.org/officeDocument/2006/relationships/chart" Target="../charts/chart4.xml"/><Relationship Id="rId15" Type="http://schemas.openxmlformats.org/officeDocument/2006/relationships/image" Target="../media/image53.png"/><Relationship Id="rId10" Type="http://schemas.openxmlformats.org/officeDocument/2006/relationships/hyperlink" Target="#'CLT EDGE DISTANCE'!B4"/><Relationship Id="rId19" Type="http://schemas.openxmlformats.org/officeDocument/2006/relationships/image" Target="../media/image54.png"/><Relationship Id="rId4" Type="http://schemas.openxmlformats.org/officeDocument/2006/relationships/image" Target="../media/image2.png"/><Relationship Id="rId9" Type="http://schemas.openxmlformats.org/officeDocument/2006/relationships/hyperlink" Target="#CONCRETE!B4"/><Relationship Id="rId14" Type="http://schemas.openxmlformats.org/officeDocument/2006/relationships/image" Target="../media/image52.png"/></Relationships>
</file>

<file path=xl/drawings/_rels/drawing7.xml.rels><?xml version="1.0" encoding="UTF-8" standalone="yes"?>
<Relationships xmlns="http://schemas.openxmlformats.org/package/2006/relationships"><Relationship Id="rId8" Type="http://schemas.openxmlformats.org/officeDocument/2006/relationships/hyperlink" Target="#CLT!E4"/><Relationship Id="rId3" Type="http://schemas.openxmlformats.org/officeDocument/2006/relationships/hyperlink" Target="#SCREWS!B4"/><Relationship Id="rId7" Type="http://schemas.openxmlformats.org/officeDocument/2006/relationships/image" Target="../media/image4.png"/><Relationship Id="rId12" Type="http://schemas.openxmlformats.org/officeDocument/2006/relationships/image" Target="../media/image52.png"/><Relationship Id="rId2" Type="http://schemas.openxmlformats.org/officeDocument/2006/relationships/hyperlink" Target="#GEOMETRY!H9"/><Relationship Id="rId1" Type="http://schemas.openxmlformats.org/officeDocument/2006/relationships/image" Target="../media/image49.png"/><Relationship Id="rId6" Type="http://schemas.openxmlformats.org/officeDocument/2006/relationships/image" Target="../media/image50.png"/><Relationship Id="rId11" Type="http://schemas.openxmlformats.org/officeDocument/2006/relationships/image" Target="../media/image51.png"/><Relationship Id="rId5" Type="http://schemas.openxmlformats.org/officeDocument/2006/relationships/hyperlink" Target="#'CLT EDGE DISTANCE'!B4"/><Relationship Id="rId10" Type="http://schemas.openxmlformats.org/officeDocument/2006/relationships/image" Target="../media/image27.png"/><Relationship Id="rId4" Type="http://schemas.openxmlformats.org/officeDocument/2006/relationships/hyperlink" Target="#CONCRETE!B4"/><Relationship Id="rId9" Type="http://schemas.openxmlformats.org/officeDocument/2006/relationships/image" Target="../media/image19.png"/></Relationships>
</file>

<file path=xl/drawings/_rels/drawing8.xml.rels><?xml version="1.0" encoding="UTF-8" standalone="yes"?>
<Relationships xmlns="http://schemas.openxmlformats.org/package/2006/relationships"><Relationship Id="rId3" Type="http://schemas.openxmlformats.org/officeDocument/2006/relationships/image" Target="../media/image49.png"/><Relationship Id="rId2" Type="http://schemas.openxmlformats.org/officeDocument/2006/relationships/hyperlink" Target="#'CALCOLI STS (slab to slab)'!I70"/><Relationship Id="rId1" Type="http://schemas.openxmlformats.org/officeDocument/2006/relationships/hyperlink" Target="#GEOMETRY!H51"/><Relationship Id="rId5" Type="http://schemas.openxmlformats.org/officeDocument/2006/relationships/image" Target="../media/image55.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CALCOLI STS (slab to slab)'!I70"/><Relationship Id="rId1" Type="http://schemas.openxmlformats.org/officeDocument/2006/relationships/hyperlink" Target="#GEOMETRY!H51"/><Relationship Id="rId4" Type="http://schemas.openxmlformats.org/officeDocument/2006/relationships/image" Target="../media/image49.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38.emf"/><Relationship Id="rId13" Type="http://schemas.openxmlformats.org/officeDocument/2006/relationships/image" Target="../media/image43.emf"/><Relationship Id="rId18" Type="http://schemas.openxmlformats.org/officeDocument/2006/relationships/image" Target="../media/image48.emf"/><Relationship Id="rId3" Type="http://schemas.openxmlformats.org/officeDocument/2006/relationships/image" Target="../media/image33.emf"/><Relationship Id="rId7" Type="http://schemas.openxmlformats.org/officeDocument/2006/relationships/image" Target="../media/image37.emf"/><Relationship Id="rId12" Type="http://schemas.openxmlformats.org/officeDocument/2006/relationships/image" Target="../media/image42.emf"/><Relationship Id="rId17" Type="http://schemas.openxmlformats.org/officeDocument/2006/relationships/image" Target="../media/image47.emf"/><Relationship Id="rId2" Type="http://schemas.openxmlformats.org/officeDocument/2006/relationships/image" Target="../media/image32.emf"/><Relationship Id="rId16" Type="http://schemas.openxmlformats.org/officeDocument/2006/relationships/image" Target="../media/image46.emf"/><Relationship Id="rId1" Type="http://schemas.openxmlformats.org/officeDocument/2006/relationships/image" Target="../media/image31.emf"/><Relationship Id="rId6" Type="http://schemas.openxmlformats.org/officeDocument/2006/relationships/image" Target="../media/image36.emf"/><Relationship Id="rId11" Type="http://schemas.openxmlformats.org/officeDocument/2006/relationships/image" Target="../media/image41.emf"/><Relationship Id="rId5" Type="http://schemas.openxmlformats.org/officeDocument/2006/relationships/image" Target="../media/image35.emf"/><Relationship Id="rId15" Type="http://schemas.openxmlformats.org/officeDocument/2006/relationships/image" Target="../media/image45.emf"/><Relationship Id="rId10" Type="http://schemas.openxmlformats.org/officeDocument/2006/relationships/image" Target="../media/image40.emf"/><Relationship Id="rId4" Type="http://schemas.openxmlformats.org/officeDocument/2006/relationships/image" Target="../media/image34.emf"/><Relationship Id="rId9" Type="http://schemas.openxmlformats.org/officeDocument/2006/relationships/image" Target="../media/image39.emf"/><Relationship Id="rId14" Type="http://schemas.openxmlformats.org/officeDocument/2006/relationships/image" Target="../media/image4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20</xdr:col>
          <xdr:colOff>0</xdr:colOff>
          <xdr:row>5</xdr:row>
          <xdr:rowOff>9525</xdr:rowOff>
        </xdr:to>
        <xdr:pic>
          <xdr:nvPicPr>
            <xdr:cNvPr id="5" name="Immagine 4">
              <a:extLst>
                <a:ext uri="{FF2B5EF4-FFF2-40B4-BE49-F238E27FC236}">
                  <a16:creationId xmlns:a16="http://schemas.microsoft.com/office/drawing/2014/main" id="{B9043CD4-9B25-450D-44A9-0916ADED0DA4}"/>
                </a:ext>
              </a:extLst>
            </xdr:cNvPr>
            <xdr:cNvPicPr>
              <a:picLocks noChangeAspect="1" noChangeArrowheads="1"/>
              <a:extLst>
                <a:ext uri="{84589F7E-364E-4C9E-8A38-B11213B215E9}">
                  <a14:cameraTool cellRange="GEOMETRY!$D$2:$K$6" spid="_x0000_s19326"/>
                </a:ext>
              </a:extLst>
            </xdr:cNvPicPr>
          </xdr:nvPicPr>
          <xdr:blipFill>
            <a:blip xmlns:r="http://schemas.openxmlformats.org/officeDocument/2006/relationships" r:embed="rId1"/>
            <a:srcRect/>
            <a:stretch>
              <a:fillRect/>
            </a:stretch>
          </xdr:blipFill>
          <xdr:spPr bwMode="auto">
            <a:xfrm>
              <a:off x="0" y="0"/>
              <a:ext cx="13201650" cy="819150"/>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4</xdr:col>
      <xdr:colOff>590550</xdr:colOff>
      <xdr:row>5</xdr:row>
      <xdr:rowOff>38100</xdr:rowOff>
    </xdr:from>
    <xdr:to>
      <xdr:col>14</xdr:col>
      <xdr:colOff>262065</xdr:colOff>
      <xdr:row>22</xdr:row>
      <xdr:rowOff>98072</xdr:rowOff>
    </xdr:to>
    <xdr:pic>
      <xdr:nvPicPr>
        <xdr:cNvPr id="6" name="tcfusion" descr="Immagine che contiene letto, legname&#10;&#10;Descrizione generata automaticamente">
          <a:extLst>
            <a:ext uri="{FF2B5EF4-FFF2-40B4-BE49-F238E27FC236}">
              <a16:creationId xmlns:a16="http://schemas.microsoft.com/office/drawing/2014/main" id="{BEBF03FF-E5BA-4771-B9A1-1DC4291FEC8C}"/>
            </a:ext>
          </a:extLst>
        </xdr:cNvPr>
        <xdr:cNvPicPr>
          <a:picLocks noChangeAspect="1"/>
        </xdr:cNvPicPr>
      </xdr:nvPicPr>
      <xdr:blipFill>
        <a:blip xmlns:r="http://schemas.openxmlformats.org/officeDocument/2006/relationships" r:embed="rId2"/>
        <a:stretch>
          <a:fillRect/>
        </a:stretch>
      </xdr:blipFill>
      <xdr:spPr>
        <a:xfrm>
          <a:off x="3333750" y="847725"/>
          <a:ext cx="6529515" cy="281269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23</xdr:row>
          <xdr:rowOff>0</xdr:rowOff>
        </xdr:from>
        <xdr:to>
          <xdr:col>20</xdr:col>
          <xdr:colOff>0</xdr:colOff>
          <xdr:row>124</xdr:row>
          <xdr:rowOff>38100</xdr:rowOff>
        </xdr:to>
        <xdr:pic>
          <xdr:nvPicPr>
            <xdr:cNvPr id="7" name="Immagine 6">
              <a:extLst>
                <a:ext uri="{FF2B5EF4-FFF2-40B4-BE49-F238E27FC236}">
                  <a16:creationId xmlns:a16="http://schemas.microsoft.com/office/drawing/2014/main" id="{7E51FB75-DA81-D441-7486-B98FDAA1C034}"/>
                </a:ext>
              </a:extLst>
            </xdr:cNvPr>
            <xdr:cNvPicPr>
              <a:picLocks noChangeAspect="1" noChangeArrowheads="1"/>
              <a:extLst>
                <a:ext uri="{84589F7E-364E-4C9E-8A38-B11213B215E9}">
                  <a14:cameraTool cellRange="GEOMETRY!$D$8:$K$95" spid="_x0000_s19327"/>
                </a:ext>
              </a:extLst>
            </xdr:cNvPicPr>
          </xdr:nvPicPr>
          <xdr:blipFill>
            <a:blip xmlns:r="http://schemas.openxmlformats.org/officeDocument/2006/relationships" r:embed="rId3"/>
            <a:srcRect/>
            <a:stretch>
              <a:fillRect/>
            </a:stretch>
          </xdr:blipFill>
          <xdr:spPr bwMode="auto">
            <a:xfrm>
              <a:off x="0" y="3724275"/>
              <a:ext cx="13201650" cy="1639252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2</xdr:col>
      <xdr:colOff>180975</xdr:colOff>
      <xdr:row>134</xdr:row>
      <xdr:rowOff>19050</xdr:rowOff>
    </xdr:from>
    <xdr:to>
      <xdr:col>17</xdr:col>
      <xdr:colOff>229</xdr:colOff>
      <xdr:row>140</xdr:row>
      <xdr:rowOff>60109</xdr:rowOff>
    </xdr:to>
    <xdr:pic>
      <xdr:nvPicPr>
        <xdr:cNvPr id="8" name="Immagine 7">
          <a:extLst>
            <a:ext uri="{FF2B5EF4-FFF2-40B4-BE49-F238E27FC236}">
              <a16:creationId xmlns:a16="http://schemas.microsoft.com/office/drawing/2014/main" id="{EC3B7878-7C5C-4D0A-84AA-04DB611366EE}"/>
            </a:ext>
          </a:extLst>
        </xdr:cNvPr>
        <xdr:cNvPicPr>
          <a:picLocks noChangeAspect="1"/>
        </xdr:cNvPicPr>
      </xdr:nvPicPr>
      <xdr:blipFill>
        <a:blip xmlns:r="http://schemas.openxmlformats.org/officeDocument/2006/relationships" r:embed="rId4"/>
        <a:stretch>
          <a:fillRect/>
        </a:stretch>
      </xdr:blipFill>
      <xdr:spPr>
        <a:xfrm>
          <a:off x="1552575" y="61321950"/>
          <a:ext cx="10106254" cy="101260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6</xdr:col>
      <xdr:colOff>0</xdr:colOff>
      <xdr:row>3</xdr:row>
      <xdr:rowOff>0</xdr:rowOff>
    </xdr:from>
    <xdr:to>
      <xdr:col>8</xdr:col>
      <xdr:colOff>428400</xdr:colOff>
      <xdr:row>5</xdr:row>
      <xdr:rowOff>87000</xdr:rowOff>
    </xdr:to>
    <xdr:sp macro="" textlink="">
      <xdr:nvSpPr>
        <xdr:cNvPr id="4" name="Rettangolo con angoli arrotondati 3">
          <a:hlinkClick xmlns:r="http://schemas.openxmlformats.org/officeDocument/2006/relationships" r:id="rId1"/>
          <a:extLst>
            <a:ext uri="{FF2B5EF4-FFF2-40B4-BE49-F238E27FC236}">
              <a16:creationId xmlns:a16="http://schemas.microsoft.com/office/drawing/2014/main" id="{BE2B7B40-9270-4E74-B74C-3ED90C78620E}"/>
            </a:ext>
          </a:extLst>
        </xdr:cNvPr>
        <xdr:cNvSpPr/>
      </xdr:nvSpPr>
      <xdr:spPr>
        <a:xfrm>
          <a:off x="5838825" y="3810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9</xdr:col>
      <xdr:colOff>0</xdr:colOff>
      <xdr:row>3</xdr:row>
      <xdr:rowOff>0</xdr:rowOff>
    </xdr:from>
    <xdr:to>
      <xdr:col>11</xdr:col>
      <xdr:colOff>428400</xdr:colOff>
      <xdr:row>5</xdr:row>
      <xdr:rowOff>87000</xdr:rowOff>
    </xdr:to>
    <xdr:sp macro="" textlink="">
      <xdr:nvSpPr>
        <xdr:cNvPr id="5" name="Rettangolo con angoli arrotondati 4">
          <a:hlinkClick xmlns:r="http://schemas.openxmlformats.org/officeDocument/2006/relationships" r:id="rId2"/>
          <a:extLst>
            <a:ext uri="{FF2B5EF4-FFF2-40B4-BE49-F238E27FC236}">
              <a16:creationId xmlns:a16="http://schemas.microsoft.com/office/drawing/2014/main" id="{5579D78B-8011-445D-A408-906C5A76AC30}"/>
            </a:ext>
          </a:extLst>
        </xdr:cNvPr>
        <xdr:cNvSpPr/>
      </xdr:nvSpPr>
      <xdr:spPr>
        <a:xfrm>
          <a:off x="7896225" y="3810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13</xdr:col>
      <xdr:colOff>0</xdr:colOff>
      <xdr:row>2</xdr:row>
      <xdr:rowOff>0</xdr:rowOff>
    </xdr:from>
    <xdr:to>
      <xdr:col>15</xdr:col>
      <xdr:colOff>429223</xdr:colOff>
      <xdr:row>6</xdr:row>
      <xdr:rowOff>49814</xdr:rowOff>
    </xdr:to>
    <xdr:pic>
      <xdr:nvPicPr>
        <xdr:cNvPr id="7" name="Immagine 6">
          <a:extLst>
            <a:ext uri="{FF2B5EF4-FFF2-40B4-BE49-F238E27FC236}">
              <a16:creationId xmlns:a16="http://schemas.microsoft.com/office/drawing/2014/main" id="{566CC8F5-ED38-4392-BD95-653B7807B125}"/>
            </a:ext>
          </a:extLst>
        </xdr:cNvPr>
        <xdr:cNvPicPr>
          <a:picLocks noChangeAspect="1"/>
        </xdr:cNvPicPr>
      </xdr:nvPicPr>
      <xdr:blipFill rotWithShape="1">
        <a:blip xmlns:r="http://schemas.openxmlformats.org/officeDocument/2006/relationships" r:embed="rId3"/>
        <a:srcRect l="7792" t="6154" r="5195" b="7679"/>
        <a:stretch/>
      </xdr:blipFill>
      <xdr:spPr>
        <a:xfrm>
          <a:off x="10639425" y="381000"/>
          <a:ext cx="1800823" cy="811814"/>
        </a:xfrm>
        <a:prstGeom prst="rect">
          <a:avLst/>
        </a:prstGeom>
      </xdr:spPr>
    </xdr:pic>
    <xdr:clientData/>
  </xdr:twoCellAnchor>
  <xdr:twoCellAnchor editAs="oneCell">
    <xdr:from>
      <xdr:col>4</xdr:col>
      <xdr:colOff>0</xdr:colOff>
      <xdr:row>78</xdr:row>
      <xdr:rowOff>0</xdr:rowOff>
    </xdr:from>
    <xdr:to>
      <xdr:col>14</xdr:col>
      <xdr:colOff>505054</xdr:colOff>
      <xdr:row>83</xdr:row>
      <xdr:rowOff>60109</xdr:rowOff>
    </xdr:to>
    <xdr:pic>
      <xdr:nvPicPr>
        <xdr:cNvPr id="3" name="Immagine 2">
          <a:extLst>
            <a:ext uri="{FF2B5EF4-FFF2-40B4-BE49-F238E27FC236}">
              <a16:creationId xmlns:a16="http://schemas.microsoft.com/office/drawing/2014/main" id="{D72D5B65-86C8-44D8-A326-13521779A58E}"/>
            </a:ext>
          </a:extLst>
        </xdr:cNvPr>
        <xdr:cNvPicPr>
          <a:picLocks noChangeAspect="1"/>
        </xdr:cNvPicPr>
      </xdr:nvPicPr>
      <xdr:blipFill>
        <a:blip xmlns:r="http://schemas.openxmlformats.org/officeDocument/2006/relationships" r:embed="rId4"/>
        <a:stretch>
          <a:fillRect/>
        </a:stretch>
      </xdr:blipFill>
      <xdr:spPr>
        <a:xfrm>
          <a:off x="685800" y="14859000"/>
          <a:ext cx="10106254" cy="101260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3</xdr:row>
      <xdr:rowOff>0</xdr:rowOff>
    </xdr:from>
    <xdr:to>
      <xdr:col>6</xdr:col>
      <xdr:colOff>18825</xdr:colOff>
      <xdr:row>5</xdr:row>
      <xdr:rowOff>87000</xdr:rowOff>
    </xdr:to>
    <xdr:sp macro="" textlink="">
      <xdr:nvSpPr>
        <xdr:cNvPr id="14" name="Rettangolo con angoli arrotondati 13">
          <a:hlinkClick xmlns:r="http://schemas.openxmlformats.org/officeDocument/2006/relationships" r:id="rId1"/>
          <a:extLst>
            <a:ext uri="{FF2B5EF4-FFF2-40B4-BE49-F238E27FC236}">
              <a16:creationId xmlns:a16="http://schemas.microsoft.com/office/drawing/2014/main" id="{A61A2B71-754F-4392-9420-FBEE937CFFAE}"/>
            </a:ext>
          </a:extLst>
        </xdr:cNvPr>
        <xdr:cNvSpPr/>
      </xdr:nvSpPr>
      <xdr:spPr>
        <a:xfrm>
          <a:off x="32480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6</xdr:col>
      <xdr:colOff>276225</xdr:colOff>
      <xdr:row>3</xdr:row>
      <xdr:rowOff>0</xdr:rowOff>
    </xdr:from>
    <xdr:to>
      <xdr:col>9</xdr:col>
      <xdr:colOff>18825</xdr:colOff>
      <xdr:row>5</xdr:row>
      <xdr:rowOff>87000</xdr:rowOff>
    </xdr:to>
    <xdr:sp macro="" textlink="">
      <xdr:nvSpPr>
        <xdr:cNvPr id="15" name="Rettangolo con angoli arrotondati 14">
          <a:hlinkClick xmlns:r="http://schemas.openxmlformats.org/officeDocument/2006/relationships" r:id="rId2"/>
          <a:extLst>
            <a:ext uri="{FF2B5EF4-FFF2-40B4-BE49-F238E27FC236}">
              <a16:creationId xmlns:a16="http://schemas.microsoft.com/office/drawing/2014/main" id="{584AC758-73B9-4407-93BB-D6450302501F}"/>
            </a:ext>
          </a:extLst>
        </xdr:cNvPr>
        <xdr:cNvSpPr/>
      </xdr:nvSpPr>
      <xdr:spPr>
        <a:xfrm>
          <a:off x="53054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1</xdr:col>
      <xdr:colOff>0</xdr:colOff>
      <xdr:row>57</xdr:row>
      <xdr:rowOff>0</xdr:rowOff>
    </xdr:from>
    <xdr:to>
      <xdr:col>14</xdr:col>
      <xdr:colOff>150468</xdr:colOff>
      <xdr:row>62</xdr:row>
      <xdr:rowOff>51945</xdr:rowOff>
    </xdr:to>
    <xdr:pic>
      <xdr:nvPicPr>
        <xdr:cNvPr id="16" name="Immagine 15">
          <a:extLst>
            <a:ext uri="{FF2B5EF4-FFF2-40B4-BE49-F238E27FC236}">
              <a16:creationId xmlns:a16="http://schemas.microsoft.com/office/drawing/2014/main" id="{D587017C-6461-4B51-9E07-BBDE67E9C3D0}"/>
            </a:ext>
          </a:extLst>
        </xdr:cNvPr>
        <xdr:cNvPicPr>
          <a:picLocks noChangeAspect="1"/>
        </xdr:cNvPicPr>
      </xdr:nvPicPr>
      <xdr:blipFill>
        <a:blip xmlns:r="http://schemas.openxmlformats.org/officeDocument/2006/relationships" r:embed="rId3"/>
        <a:stretch>
          <a:fillRect/>
        </a:stretch>
      </xdr:blipFill>
      <xdr:spPr>
        <a:xfrm>
          <a:off x="685800" y="10668000"/>
          <a:ext cx="10082241" cy="1004445"/>
        </a:xfrm>
        <a:prstGeom prst="rect">
          <a:avLst/>
        </a:prstGeom>
      </xdr:spPr>
    </xdr:pic>
    <xdr:clientData/>
  </xdr:twoCellAnchor>
  <xdr:twoCellAnchor editAs="oneCell">
    <xdr:from>
      <xdr:col>10</xdr:col>
      <xdr:colOff>0</xdr:colOff>
      <xdr:row>2</xdr:row>
      <xdr:rowOff>0</xdr:rowOff>
    </xdr:from>
    <xdr:to>
      <xdr:col>12</xdr:col>
      <xdr:colOff>372072</xdr:colOff>
      <xdr:row>6</xdr:row>
      <xdr:rowOff>49814</xdr:rowOff>
    </xdr:to>
    <xdr:pic>
      <xdr:nvPicPr>
        <xdr:cNvPr id="17" name="Immagine 16">
          <a:extLst>
            <a:ext uri="{FF2B5EF4-FFF2-40B4-BE49-F238E27FC236}">
              <a16:creationId xmlns:a16="http://schemas.microsoft.com/office/drawing/2014/main" id="{D9844AC4-946C-4BCA-9D1E-00B5F74EA67B}"/>
            </a:ext>
          </a:extLst>
        </xdr:cNvPr>
        <xdr:cNvPicPr>
          <a:picLocks noChangeAspect="1"/>
        </xdr:cNvPicPr>
      </xdr:nvPicPr>
      <xdr:blipFill rotWithShape="1">
        <a:blip xmlns:r="http://schemas.openxmlformats.org/officeDocument/2006/relationships" r:embed="rId4"/>
        <a:srcRect l="7792" t="6154" r="5195" b="7679"/>
        <a:stretch/>
      </xdr:blipFill>
      <xdr:spPr>
        <a:xfrm>
          <a:off x="7772400" y="381000"/>
          <a:ext cx="1800823" cy="811814"/>
        </a:xfrm>
        <a:prstGeom prst="rect">
          <a:avLst/>
        </a:prstGeom>
      </xdr:spPr>
    </xdr:pic>
    <xdr:clientData/>
  </xdr:twoCellAnchor>
  <xdr:twoCellAnchor editAs="oneCell">
    <xdr:from>
      <xdr:col>2</xdr:col>
      <xdr:colOff>16671</xdr:colOff>
      <xdr:row>29</xdr:row>
      <xdr:rowOff>51196</xdr:rowOff>
    </xdr:from>
    <xdr:to>
      <xdr:col>11</xdr:col>
      <xdr:colOff>28097</xdr:colOff>
      <xdr:row>32</xdr:row>
      <xdr:rowOff>71722</xdr:rowOff>
    </xdr:to>
    <xdr:pic>
      <xdr:nvPicPr>
        <xdr:cNvPr id="3" name="BondConversion" hidden="1">
          <a:extLst>
            <a:ext uri="{FF2B5EF4-FFF2-40B4-BE49-F238E27FC236}">
              <a16:creationId xmlns:a16="http://schemas.microsoft.com/office/drawing/2014/main" id="{3AF9F2FF-47A2-DBA3-40D5-5029C8FA80C4}"/>
            </a:ext>
          </a:extLst>
        </xdr:cNvPr>
        <xdr:cNvPicPr>
          <a:picLocks noChangeAspect="1"/>
        </xdr:cNvPicPr>
      </xdr:nvPicPr>
      <xdr:blipFill>
        <a:blip xmlns:r="http://schemas.openxmlformats.org/officeDocument/2006/relationships" r:embed="rId5"/>
        <a:stretch>
          <a:fillRect/>
        </a:stretch>
      </xdr:blipFill>
      <xdr:spPr>
        <a:xfrm>
          <a:off x="1385890" y="5575696"/>
          <a:ext cx="7191665" cy="592026"/>
        </a:xfrm>
        <a:prstGeom prst="rect">
          <a:avLst/>
        </a:prstGeom>
        <a:ln w="19050">
          <a:solidFill>
            <a:sysClr val="windowText" lastClr="000000"/>
          </a:solidFill>
        </a:ln>
      </xdr:spPr>
    </xdr:pic>
    <xdr:clientData/>
  </xdr:twoCellAnchor>
  <xdr:twoCellAnchor editAs="oneCell">
    <xdr:from>
      <xdr:col>1</xdr:col>
      <xdr:colOff>419100</xdr:colOff>
      <xdr:row>32</xdr:row>
      <xdr:rowOff>161925</xdr:rowOff>
    </xdr:from>
    <xdr:to>
      <xdr:col>1</xdr:col>
      <xdr:colOff>632478</xdr:colOff>
      <xdr:row>34</xdr:row>
      <xdr:rowOff>14945</xdr:rowOff>
    </xdr:to>
    <xdr:pic macro="[0]!ConversionBondStrength">
      <xdr:nvPicPr>
        <xdr:cNvPr id="4" name="Immagine 3">
          <a:extLst>
            <a:ext uri="{FF2B5EF4-FFF2-40B4-BE49-F238E27FC236}">
              <a16:creationId xmlns:a16="http://schemas.microsoft.com/office/drawing/2014/main" id="{22D8A84F-F7AD-43A3-8F3B-305F8C4AAA30}"/>
            </a:ext>
          </a:extLst>
        </xdr:cNvPr>
        <xdr:cNvPicPr>
          <a:picLocks noChangeAspect="1"/>
        </xdr:cNvPicPr>
      </xdr:nvPicPr>
      <xdr:blipFill>
        <a:blip xmlns:r="http://schemas.openxmlformats.org/officeDocument/2006/relationships" r:embed="rId6"/>
        <a:stretch>
          <a:fillRect/>
        </a:stretch>
      </xdr:blipFill>
      <xdr:spPr>
        <a:xfrm>
          <a:off x="1104900" y="6257925"/>
          <a:ext cx="213378" cy="23402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21</xdr:col>
      <xdr:colOff>70037</xdr:colOff>
      <xdr:row>13</xdr:row>
      <xdr:rowOff>108696</xdr:rowOff>
    </xdr:from>
    <xdr:to>
      <xdr:col>27</xdr:col>
      <xdr:colOff>527237</xdr:colOff>
      <xdr:row>31</xdr:row>
      <xdr:rowOff>99172</xdr:rowOff>
    </xdr:to>
    <xdr:graphicFrame macro="">
      <xdr:nvGraphicFramePr>
        <xdr:cNvPr id="3" name="Grafico 2">
          <a:extLst>
            <a:ext uri="{FF2B5EF4-FFF2-40B4-BE49-F238E27FC236}">
              <a16:creationId xmlns:a16="http://schemas.microsoft.com/office/drawing/2014/main" id="{738E2123-197D-C328-7898-C43F20C192F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685799</xdr:colOff>
      <xdr:row>38</xdr:row>
      <xdr:rowOff>0</xdr:rowOff>
    </xdr:from>
    <xdr:to>
      <xdr:col>33</xdr:col>
      <xdr:colOff>200025</xdr:colOff>
      <xdr:row>55</xdr:row>
      <xdr:rowOff>152400</xdr:rowOff>
    </xdr:to>
    <xdr:graphicFrame macro="">
      <xdr:nvGraphicFramePr>
        <xdr:cNvPr id="4" name="Grafico 3">
          <a:extLst>
            <a:ext uri="{FF2B5EF4-FFF2-40B4-BE49-F238E27FC236}">
              <a16:creationId xmlns:a16="http://schemas.microsoft.com/office/drawing/2014/main" id="{0AE01C95-7653-42E7-96C8-AD8850528D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28</xdr:col>
      <xdr:colOff>326572</xdr:colOff>
      <xdr:row>10</xdr:row>
      <xdr:rowOff>16329</xdr:rowOff>
    </xdr:from>
    <xdr:to>
      <xdr:col>35</xdr:col>
      <xdr:colOff>136072</xdr:colOff>
      <xdr:row>26</xdr:row>
      <xdr:rowOff>146957</xdr:rowOff>
    </xdr:to>
    <xdr:graphicFrame macro="">
      <xdr:nvGraphicFramePr>
        <xdr:cNvPr id="5" name="Grafico 4">
          <a:extLst>
            <a:ext uri="{FF2B5EF4-FFF2-40B4-BE49-F238E27FC236}">
              <a16:creationId xmlns:a16="http://schemas.microsoft.com/office/drawing/2014/main" id="{C072F008-8604-A455-6EDE-C3E38C380AA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600075</xdr:colOff>
      <xdr:row>6</xdr:row>
      <xdr:rowOff>28575</xdr:rowOff>
    </xdr:from>
    <xdr:to>
      <xdr:col>14</xdr:col>
      <xdr:colOff>271589</xdr:colOff>
      <xdr:row>23</xdr:row>
      <xdr:rowOff>88547</xdr:rowOff>
    </xdr:to>
    <xdr:pic>
      <xdr:nvPicPr>
        <xdr:cNvPr id="2" name="tcfusion" descr="Immagine che contiene Blocco di legno, scatola, design, arredo&#10;&#10;Descrizione generata automaticamente">
          <a:extLst>
            <a:ext uri="{FF2B5EF4-FFF2-40B4-BE49-F238E27FC236}">
              <a16:creationId xmlns:a16="http://schemas.microsoft.com/office/drawing/2014/main" id="{1B642A9E-2E31-4F1B-8BD9-5A5B13982E15}"/>
            </a:ext>
          </a:extLst>
        </xdr:cNvPr>
        <xdr:cNvPicPr>
          <a:picLocks noChangeAspect="1"/>
        </xdr:cNvPicPr>
      </xdr:nvPicPr>
      <xdr:blipFill>
        <a:blip xmlns:r="http://schemas.openxmlformats.org/officeDocument/2006/relationships" r:embed="rId1"/>
        <a:stretch>
          <a:fillRect/>
        </a:stretch>
      </xdr:blipFill>
      <xdr:spPr>
        <a:xfrm>
          <a:off x="3343275" y="1000125"/>
          <a:ext cx="6529514" cy="281269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20</xdr:col>
          <xdr:colOff>0</xdr:colOff>
          <xdr:row>5</xdr:row>
          <xdr:rowOff>9525</xdr:rowOff>
        </xdr:to>
        <xdr:pic>
          <xdr:nvPicPr>
            <xdr:cNvPr id="5" name="Immagine 4">
              <a:extLst>
                <a:ext uri="{FF2B5EF4-FFF2-40B4-BE49-F238E27FC236}">
                  <a16:creationId xmlns:a16="http://schemas.microsoft.com/office/drawing/2014/main" id="{913C5526-A2D7-A9EB-3C02-DA3ED80DA579}"/>
                </a:ext>
              </a:extLst>
            </xdr:cNvPr>
            <xdr:cNvPicPr>
              <a:picLocks noChangeAspect="1" noChangeArrowheads="1"/>
              <a:extLst>
                <a:ext uri="{84589F7E-364E-4C9E-8A38-B11213B215E9}">
                  <a14:cameraTool cellRange="GEOMETRY!$D$2:$K$6" spid="_x0000_s9667"/>
                </a:ext>
              </a:extLst>
            </xdr:cNvPicPr>
          </xdr:nvPicPr>
          <xdr:blipFill>
            <a:blip xmlns:r="http://schemas.openxmlformats.org/officeDocument/2006/relationships" r:embed="rId2"/>
            <a:srcRect/>
            <a:stretch>
              <a:fillRect/>
            </a:stretch>
          </xdr:blipFill>
          <xdr:spPr bwMode="auto">
            <a:xfrm>
              <a:off x="0" y="0"/>
              <a:ext cx="13201650" cy="81915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114300</xdr:rowOff>
        </xdr:from>
        <xdr:to>
          <xdr:col>20</xdr:col>
          <xdr:colOff>0</xdr:colOff>
          <xdr:row>47</xdr:row>
          <xdr:rowOff>19050</xdr:rowOff>
        </xdr:to>
        <xdr:pic>
          <xdr:nvPicPr>
            <xdr:cNvPr id="6" name="Immagine 5">
              <a:extLst>
                <a:ext uri="{FF2B5EF4-FFF2-40B4-BE49-F238E27FC236}">
                  <a16:creationId xmlns:a16="http://schemas.microsoft.com/office/drawing/2014/main" id="{5FBC22AA-61C1-FC81-79F5-F94E48F67C4D}"/>
                </a:ext>
              </a:extLst>
            </xdr:cNvPr>
            <xdr:cNvPicPr>
              <a:picLocks noChangeAspect="1" noChangeArrowheads="1"/>
              <a:extLst>
                <a:ext uri="{84589F7E-364E-4C9E-8A38-B11213B215E9}">
                  <a14:cameraTool cellRange="GEOMETRY!$D$8:$K$28" spid="_x0000_s9668"/>
                </a:ext>
              </a:extLst>
            </xdr:cNvPicPr>
          </xdr:nvPicPr>
          <xdr:blipFill>
            <a:blip xmlns:r="http://schemas.openxmlformats.org/officeDocument/2006/relationships" r:embed="rId3"/>
            <a:srcRect/>
            <a:stretch>
              <a:fillRect/>
            </a:stretch>
          </xdr:blipFill>
          <xdr:spPr bwMode="auto">
            <a:xfrm>
              <a:off x="0" y="4000500"/>
              <a:ext cx="13201650" cy="3629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28575</xdr:rowOff>
        </xdr:from>
        <xdr:to>
          <xdr:col>20</xdr:col>
          <xdr:colOff>0</xdr:colOff>
          <xdr:row>81</xdr:row>
          <xdr:rowOff>19050</xdr:rowOff>
        </xdr:to>
        <xdr:pic>
          <xdr:nvPicPr>
            <xdr:cNvPr id="8" name="Immagine 7">
              <a:extLst>
                <a:ext uri="{FF2B5EF4-FFF2-40B4-BE49-F238E27FC236}">
                  <a16:creationId xmlns:a16="http://schemas.microsoft.com/office/drawing/2014/main" id="{FC86E650-DF19-4D9C-EA69-949EBB7A4030}"/>
                </a:ext>
              </a:extLst>
            </xdr:cNvPr>
            <xdr:cNvPicPr>
              <a:picLocks noChangeAspect="1" noChangeArrowheads="1"/>
              <a:extLst>
                <a:ext uri="{84589F7E-364E-4C9E-8A38-B11213B215E9}">
                  <a14:cameraTool cellRange="GEOMETRY!$D$30:$K$34" spid="_x0000_s9669"/>
                </a:ext>
              </a:extLst>
            </xdr:cNvPicPr>
          </xdr:nvPicPr>
          <xdr:blipFill>
            <a:blip xmlns:r="http://schemas.openxmlformats.org/officeDocument/2006/relationships" r:embed="rId4"/>
            <a:srcRect/>
            <a:stretch>
              <a:fillRect/>
            </a:stretch>
          </xdr:blipFill>
          <xdr:spPr bwMode="auto">
            <a:xfrm>
              <a:off x="0" y="12172950"/>
              <a:ext cx="13201650" cy="962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82</xdr:row>
          <xdr:rowOff>0</xdr:rowOff>
        </xdr:from>
        <xdr:to>
          <xdr:col>17</xdr:col>
          <xdr:colOff>447675</xdr:colOff>
          <xdr:row>93</xdr:row>
          <xdr:rowOff>133350</xdr:rowOff>
        </xdr:to>
        <xdr:pic>
          <xdr:nvPicPr>
            <xdr:cNvPr id="9" name="Immagine 8">
              <a:extLst>
                <a:ext uri="{FF2B5EF4-FFF2-40B4-BE49-F238E27FC236}">
                  <a16:creationId xmlns:a16="http://schemas.microsoft.com/office/drawing/2014/main" id="{CF8D8114-11D2-0AE0-E079-D58A5EEB2178}"/>
                </a:ext>
              </a:extLst>
            </xdr:cNvPr>
            <xdr:cNvPicPr>
              <a:picLocks noChangeAspect="1" noChangeArrowheads="1"/>
              <a:extLst>
                <a:ext uri="{84589F7E-364E-4C9E-8A38-B11213B215E9}">
                  <a14:cameraTool cellRange="CLT!$F$9:$O$18" spid="_x0000_s9670"/>
                </a:ext>
              </a:extLst>
            </xdr:cNvPicPr>
          </xdr:nvPicPr>
          <xdr:blipFill>
            <a:blip xmlns:r="http://schemas.openxmlformats.org/officeDocument/2006/relationships" r:embed="rId5"/>
            <a:srcRect/>
            <a:stretch>
              <a:fillRect/>
            </a:stretch>
          </xdr:blipFill>
          <xdr:spPr bwMode="auto">
            <a:xfrm>
              <a:off x="2495550" y="13277850"/>
              <a:ext cx="9610725" cy="1914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94</xdr:row>
          <xdr:rowOff>104775</xdr:rowOff>
        </xdr:from>
        <xdr:to>
          <xdr:col>20</xdr:col>
          <xdr:colOff>0</xdr:colOff>
          <xdr:row>111</xdr:row>
          <xdr:rowOff>28575</xdr:rowOff>
        </xdr:to>
        <xdr:pic>
          <xdr:nvPicPr>
            <xdr:cNvPr id="10" name="Immagine 9">
              <a:extLst>
                <a:ext uri="{FF2B5EF4-FFF2-40B4-BE49-F238E27FC236}">
                  <a16:creationId xmlns:a16="http://schemas.microsoft.com/office/drawing/2014/main" id="{E521E9E1-194A-9B50-ED57-149726E82528}"/>
                </a:ext>
              </a:extLst>
            </xdr:cNvPr>
            <xdr:cNvPicPr>
              <a:picLocks noChangeAspect="1" noChangeArrowheads="1"/>
              <a:extLst>
                <a:ext uri="{84589F7E-364E-4C9E-8A38-B11213B215E9}">
                  <a14:cameraTool cellRange="GEOMETRY!$D$36:$K$49" spid="_x0000_s9671"/>
                </a:ext>
              </a:extLst>
            </xdr:cNvPicPr>
          </xdr:nvPicPr>
          <xdr:blipFill>
            <a:blip xmlns:r="http://schemas.openxmlformats.org/officeDocument/2006/relationships" r:embed="rId6"/>
            <a:srcRect/>
            <a:stretch>
              <a:fillRect/>
            </a:stretch>
          </xdr:blipFill>
          <xdr:spPr bwMode="auto">
            <a:xfrm>
              <a:off x="0" y="15325725"/>
              <a:ext cx="13201650" cy="267652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0</xdr:col>
      <xdr:colOff>0</xdr:colOff>
      <xdr:row>137</xdr:row>
      <xdr:rowOff>0</xdr:rowOff>
    </xdr:from>
    <xdr:to>
      <xdr:col>7</xdr:col>
      <xdr:colOff>480060</xdr:colOff>
      <xdr:row>156</xdr:row>
      <xdr:rowOff>24742</xdr:rowOff>
    </xdr:to>
    <xdr:graphicFrame macro="">
      <xdr:nvGraphicFramePr>
        <xdr:cNvPr id="11" name="Orientamento">
          <a:extLst>
            <a:ext uri="{FF2B5EF4-FFF2-40B4-BE49-F238E27FC236}">
              <a16:creationId xmlns:a16="http://schemas.microsoft.com/office/drawing/2014/main" id="{E535E498-DCF9-4B1A-884E-C5D95FB39D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466725</xdr:colOff>
      <xdr:row>137</xdr:row>
      <xdr:rowOff>0</xdr:rowOff>
    </xdr:from>
    <xdr:to>
      <xdr:col>19</xdr:col>
      <xdr:colOff>141755</xdr:colOff>
      <xdr:row>151</xdr:row>
      <xdr:rowOff>30256</xdr:rowOff>
    </xdr:to>
    <xdr:graphicFrame macro="">
      <xdr:nvGraphicFramePr>
        <xdr:cNvPr id="12" name="Graph_section">
          <a:extLst>
            <a:ext uri="{FF2B5EF4-FFF2-40B4-BE49-F238E27FC236}">
              <a16:creationId xmlns:a16="http://schemas.microsoft.com/office/drawing/2014/main" id="{7CF97D5E-2D08-4227-BE1A-C7E519135B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13</xdr:col>
      <xdr:colOff>68561</xdr:colOff>
      <xdr:row>151</xdr:row>
      <xdr:rowOff>30812</xdr:rowOff>
    </xdr:from>
    <xdr:to>
      <xdr:col>19</xdr:col>
      <xdr:colOff>140229</xdr:colOff>
      <xdr:row>165</xdr:row>
      <xdr:rowOff>43034</xdr:rowOff>
    </xdr:to>
    <xdr:graphicFrame macro="">
      <xdr:nvGraphicFramePr>
        <xdr:cNvPr id="13" name="Graph_position">
          <a:extLst>
            <a:ext uri="{FF2B5EF4-FFF2-40B4-BE49-F238E27FC236}">
              <a16:creationId xmlns:a16="http://schemas.microsoft.com/office/drawing/2014/main" id="{722C7E9C-B911-4556-B47D-5789290549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0</xdr:colOff>
          <xdr:row>166</xdr:row>
          <xdr:rowOff>66675</xdr:rowOff>
        </xdr:from>
        <xdr:to>
          <xdr:col>20</xdr:col>
          <xdr:colOff>0</xdr:colOff>
          <xdr:row>177</xdr:row>
          <xdr:rowOff>9525</xdr:rowOff>
        </xdr:to>
        <xdr:pic>
          <xdr:nvPicPr>
            <xdr:cNvPr id="14" name="Immagine 13">
              <a:extLst>
                <a:ext uri="{FF2B5EF4-FFF2-40B4-BE49-F238E27FC236}">
                  <a16:creationId xmlns:a16="http://schemas.microsoft.com/office/drawing/2014/main" id="{305BFE78-7EEF-5205-48FB-518310ED72F9}"/>
                </a:ext>
              </a:extLst>
            </xdr:cNvPr>
            <xdr:cNvPicPr>
              <a:picLocks noChangeAspect="1" noChangeArrowheads="1"/>
              <a:extLst>
                <a:ext uri="{84589F7E-364E-4C9E-8A38-B11213B215E9}">
                  <a14:cameraTool cellRange="GEOMETRY!$D$51:$K$59" spid="_x0000_s9672"/>
                </a:ext>
              </a:extLst>
            </xdr:cNvPicPr>
          </xdr:nvPicPr>
          <xdr:blipFill>
            <a:blip xmlns:r="http://schemas.openxmlformats.org/officeDocument/2006/relationships" r:embed="rId10"/>
            <a:srcRect/>
            <a:stretch>
              <a:fillRect/>
            </a:stretch>
          </xdr:blipFill>
          <xdr:spPr bwMode="auto">
            <a:xfrm>
              <a:off x="0" y="26946225"/>
              <a:ext cx="13201650" cy="1724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178</xdr:row>
          <xdr:rowOff>57150</xdr:rowOff>
        </xdr:from>
        <xdr:to>
          <xdr:col>11</xdr:col>
          <xdr:colOff>285750</xdr:colOff>
          <xdr:row>192</xdr:row>
          <xdr:rowOff>85725</xdr:rowOff>
        </xdr:to>
        <xdr:pic>
          <xdr:nvPicPr>
            <xdr:cNvPr id="15" name="Immagine 14">
              <a:extLst>
                <a:ext uri="{FF2B5EF4-FFF2-40B4-BE49-F238E27FC236}">
                  <a16:creationId xmlns:a16="http://schemas.microsoft.com/office/drawing/2014/main" id="{6AEA096E-36ED-1FDF-F07E-799F699474B1}"/>
                </a:ext>
              </a:extLst>
            </xdr:cNvPr>
            <xdr:cNvPicPr>
              <a:picLocks noChangeAspect="1" noChangeArrowheads="1"/>
              <a:extLst>
                <a:ext uri="{84589F7E-364E-4C9E-8A38-B11213B215E9}">
                  <a14:cameraTool cellRange="CONCRETE!$C$9:$M$20" spid="_x0000_s9673"/>
                </a:ext>
              </a:extLst>
            </xdr:cNvPicPr>
          </xdr:nvPicPr>
          <xdr:blipFill>
            <a:blip xmlns:r="http://schemas.openxmlformats.org/officeDocument/2006/relationships" r:embed="rId11"/>
            <a:srcRect/>
            <a:stretch>
              <a:fillRect/>
            </a:stretch>
          </xdr:blipFill>
          <xdr:spPr bwMode="auto">
            <a:xfrm>
              <a:off x="0" y="28879800"/>
              <a:ext cx="7829550" cy="2295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428625</xdr:colOff>
          <xdr:row>178</xdr:row>
          <xdr:rowOff>57150</xdr:rowOff>
        </xdr:from>
        <xdr:to>
          <xdr:col>19</xdr:col>
          <xdr:colOff>28575</xdr:colOff>
          <xdr:row>192</xdr:row>
          <xdr:rowOff>85725</xdr:rowOff>
        </xdr:to>
        <xdr:pic>
          <xdr:nvPicPr>
            <xdr:cNvPr id="16" name="Immagine 15">
              <a:extLst>
                <a:ext uri="{FF2B5EF4-FFF2-40B4-BE49-F238E27FC236}">
                  <a16:creationId xmlns:a16="http://schemas.microsoft.com/office/drawing/2014/main" id="{DF5F7080-FBD4-536F-BAC1-07DA74F44CF2}"/>
                </a:ext>
              </a:extLst>
            </xdr:cNvPr>
            <xdr:cNvPicPr>
              <a:picLocks noChangeAspect="1" noChangeArrowheads="1"/>
              <a:extLst>
                <a:ext uri="{84589F7E-364E-4C9E-8A38-B11213B215E9}">
                  <a14:cameraTool cellRange="CONCRETE!$C$24:$I$35" spid="_x0000_s9674"/>
                </a:ext>
              </a:extLst>
            </xdr:cNvPicPr>
          </xdr:nvPicPr>
          <xdr:blipFill>
            <a:blip xmlns:r="http://schemas.openxmlformats.org/officeDocument/2006/relationships" r:embed="rId12"/>
            <a:srcRect/>
            <a:stretch>
              <a:fillRect/>
            </a:stretch>
          </xdr:blipFill>
          <xdr:spPr bwMode="auto">
            <a:xfrm>
              <a:off x="7972425" y="28879800"/>
              <a:ext cx="5086350" cy="2295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193</xdr:row>
          <xdr:rowOff>104775</xdr:rowOff>
        </xdr:from>
        <xdr:to>
          <xdr:col>20</xdr:col>
          <xdr:colOff>0</xdr:colOff>
          <xdr:row>212</xdr:row>
          <xdr:rowOff>85725</xdr:rowOff>
        </xdr:to>
        <xdr:pic>
          <xdr:nvPicPr>
            <xdr:cNvPr id="17" name="Immagine 16">
              <a:extLst>
                <a:ext uri="{FF2B5EF4-FFF2-40B4-BE49-F238E27FC236}">
                  <a16:creationId xmlns:a16="http://schemas.microsoft.com/office/drawing/2014/main" id="{C33459B7-39BD-8FCA-E84F-6DA7FA36622B}"/>
                </a:ext>
              </a:extLst>
            </xdr:cNvPr>
            <xdr:cNvPicPr>
              <a:picLocks noChangeAspect="1" noChangeArrowheads="1"/>
              <a:extLst>
                <a:ext uri="{84589F7E-364E-4C9E-8A38-B11213B215E9}">
                  <a14:cameraTool cellRange="GEOMETRY!$D$61:$K$76" spid="_x0000_s9675"/>
                </a:ext>
              </a:extLst>
            </xdr:cNvPicPr>
          </xdr:nvPicPr>
          <xdr:blipFill>
            <a:blip xmlns:r="http://schemas.openxmlformats.org/officeDocument/2006/relationships" r:embed="rId13"/>
            <a:srcRect/>
            <a:stretch>
              <a:fillRect/>
            </a:stretch>
          </xdr:blipFill>
          <xdr:spPr bwMode="auto">
            <a:xfrm>
              <a:off x="0" y="31356300"/>
              <a:ext cx="13201650" cy="3057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213</xdr:row>
          <xdr:rowOff>85725</xdr:rowOff>
        </xdr:from>
        <xdr:to>
          <xdr:col>9</xdr:col>
          <xdr:colOff>114300</xdr:colOff>
          <xdr:row>225</xdr:row>
          <xdr:rowOff>57150</xdr:rowOff>
        </xdr:to>
        <xdr:pic>
          <xdr:nvPicPr>
            <xdr:cNvPr id="19" name="Immagine 18">
              <a:extLst>
                <a:ext uri="{FF2B5EF4-FFF2-40B4-BE49-F238E27FC236}">
                  <a16:creationId xmlns:a16="http://schemas.microsoft.com/office/drawing/2014/main" id="{986F1ABE-2312-FB16-4F34-9C018364F150}"/>
                </a:ext>
              </a:extLst>
            </xdr:cNvPr>
            <xdr:cNvPicPr>
              <a:picLocks noChangeAspect="1" noChangeArrowheads="1"/>
              <a:extLst>
                <a:ext uri="{84589F7E-364E-4C9E-8A38-B11213B215E9}">
                  <a14:cameraTool cellRange="'CLT EDGE DISTANCE'!$C$9:$E$18" spid="_x0000_s9676"/>
                </a:ext>
              </a:extLst>
            </xdr:cNvPicPr>
          </xdr:nvPicPr>
          <xdr:blipFill>
            <a:blip xmlns:r="http://schemas.openxmlformats.org/officeDocument/2006/relationships" r:embed="rId14"/>
            <a:srcRect/>
            <a:stretch>
              <a:fillRect/>
            </a:stretch>
          </xdr:blipFill>
          <xdr:spPr bwMode="auto">
            <a:xfrm>
              <a:off x="2495550" y="34575750"/>
              <a:ext cx="3790950" cy="1914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236</xdr:row>
          <xdr:rowOff>28575</xdr:rowOff>
        </xdr:from>
        <xdr:to>
          <xdr:col>19</xdr:col>
          <xdr:colOff>159124</xdr:colOff>
          <xdr:row>241</xdr:row>
          <xdr:rowOff>3362</xdr:rowOff>
        </xdr:to>
        <xdr:pic>
          <xdr:nvPicPr>
            <xdr:cNvPr id="20" name="Immagine 19">
              <a:extLst>
                <a:ext uri="{FF2B5EF4-FFF2-40B4-BE49-F238E27FC236}">
                  <a16:creationId xmlns:a16="http://schemas.microsoft.com/office/drawing/2014/main" id="{64F222F2-66FE-D832-0EBE-8DA664BC9633}"/>
                </a:ext>
              </a:extLst>
            </xdr:cNvPr>
            <xdr:cNvPicPr>
              <a:picLocks noChangeAspect="1" noChangeArrowheads="1"/>
              <a:extLst>
                <a:ext uri="{84589F7E-364E-4C9E-8A38-B11213B215E9}">
                  <a14:cameraTool cellRange="'CALCOLI STS (slab to slab)'!$D$63:$K$67" spid="_x0000_s9677"/>
                </a:ext>
              </a:extLst>
            </xdr:cNvPicPr>
          </xdr:nvPicPr>
          <xdr:blipFill>
            <a:blip xmlns:r="http://schemas.openxmlformats.org/officeDocument/2006/relationships" r:embed="rId15"/>
            <a:srcRect/>
            <a:stretch>
              <a:fillRect/>
            </a:stretch>
          </xdr:blipFill>
          <xdr:spPr bwMode="auto">
            <a:xfrm>
              <a:off x="0" y="38242875"/>
              <a:ext cx="13189324" cy="784412"/>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241</xdr:row>
          <xdr:rowOff>76200</xdr:rowOff>
        </xdr:from>
        <xdr:to>
          <xdr:col>20</xdr:col>
          <xdr:colOff>0</xdr:colOff>
          <xdr:row>263</xdr:row>
          <xdr:rowOff>142875</xdr:rowOff>
        </xdr:to>
        <xdr:pic>
          <xdr:nvPicPr>
            <xdr:cNvPr id="21" name="Immagine 20">
              <a:extLst>
                <a:ext uri="{FF2B5EF4-FFF2-40B4-BE49-F238E27FC236}">
                  <a16:creationId xmlns:a16="http://schemas.microsoft.com/office/drawing/2014/main" id="{E5943E5A-5ACE-8743-4F45-0F49F43281A9}"/>
                </a:ext>
              </a:extLst>
            </xdr:cNvPr>
            <xdr:cNvPicPr>
              <a:picLocks noChangeAspect="1" noChangeArrowheads="1"/>
              <a:extLst>
                <a:ext uri="{84589F7E-364E-4C9E-8A38-B11213B215E9}">
                  <a14:cameraTool cellRange="'CALCOLI STS (slab to slab)'!$D$73:$K$91" spid="_x0000_s9678"/>
                </a:ext>
              </a:extLst>
            </xdr:cNvPicPr>
          </xdr:nvPicPr>
          <xdr:blipFill>
            <a:blip xmlns:r="http://schemas.openxmlformats.org/officeDocument/2006/relationships" r:embed="rId16"/>
            <a:srcRect/>
            <a:stretch>
              <a:fillRect/>
            </a:stretch>
          </xdr:blipFill>
          <xdr:spPr bwMode="auto">
            <a:xfrm>
              <a:off x="0" y="39100125"/>
              <a:ext cx="13201650" cy="362902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5</xdr:col>
      <xdr:colOff>304800</xdr:colOff>
      <xdr:row>264</xdr:row>
      <xdr:rowOff>28575</xdr:rowOff>
    </xdr:from>
    <xdr:to>
      <xdr:col>13</xdr:col>
      <xdr:colOff>578400</xdr:colOff>
      <xdr:row>288</xdr:row>
      <xdr:rowOff>65099</xdr:rowOff>
    </xdr:to>
    <xdr:pic>
      <xdr:nvPicPr>
        <xdr:cNvPr id="22" name="leverarm" descr="Immagine che contiene testo, diagramma, Parallelo, linea&#10;&#10;Descrizione generata automaticamente">
          <a:extLst>
            <a:ext uri="{FF2B5EF4-FFF2-40B4-BE49-F238E27FC236}">
              <a16:creationId xmlns:a16="http://schemas.microsoft.com/office/drawing/2014/main" id="{4EC409E4-0CDB-43DE-866A-2E7D185197CF}"/>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733800" y="42776775"/>
          <a:ext cx="5760000" cy="3922724"/>
        </a:xfrm>
        <a:prstGeom prst="rect">
          <a:avLst/>
        </a:prstGeom>
        <a:noFill/>
        <a:ln w="12700">
          <a:noFill/>
        </a:ln>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288</xdr:row>
          <xdr:rowOff>95250</xdr:rowOff>
        </xdr:from>
        <xdr:to>
          <xdr:col>20</xdr:col>
          <xdr:colOff>0</xdr:colOff>
          <xdr:row>307</xdr:row>
          <xdr:rowOff>76200</xdr:rowOff>
        </xdr:to>
        <xdr:pic>
          <xdr:nvPicPr>
            <xdr:cNvPr id="23" name="Immagine 22">
              <a:extLst>
                <a:ext uri="{FF2B5EF4-FFF2-40B4-BE49-F238E27FC236}">
                  <a16:creationId xmlns:a16="http://schemas.microsoft.com/office/drawing/2014/main" id="{215BA743-5073-F58E-700C-3CD07A8996CC}"/>
                </a:ext>
              </a:extLst>
            </xdr:cNvPr>
            <xdr:cNvPicPr>
              <a:picLocks noChangeAspect="1" noChangeArrowheads="1"/>
              <a:extLst>
                <a:ext uri="{84589F7E-364E-4C9E-8A38-B11213B215E9}">
                  <a14:cameraTool cellRange="'CALCOLI STS (slab to slab)'!$D$93:$K$108" spid="_x0000_s9679"/>
                </a:ext>
              </a:extLst>
            </xdr:cNvPicPr>
          </xdr:nvPicPr>
          <xdr:blipFill>
            <a:blip xmlns:r="http://schemas.openxmlformats.org/officeDocument/2006/relationships" r:embed="rId18"/>
            <a:srcRect/>
            <a:stretch>
              <a:fillRect/>
            </a:stretch>
          </xdr:blipFill>
          <xdr:spPr bwMode="auto">
            <a:xfrm>
              <a:off x="0" y="46729650"/>
              <a:ext cx="13201650" cy="3057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327</xdr:row>
          <xdr:rowOff>142875</xdr:rowOff>
        </xdr:from>
        <xdr:to>
          <xdr:col>20</xdr:col>
          <xdr:colOff>0</xdr:colOff>
          <xdr:row>351</xdr:row>
          <xdr:rowOff>76200</xdr:rowOff>
        </xdr:to>
        <xdr:pic>
          <xdr:nvPicPr>
            <xdr:cNvPr id="25" name="Immagine 24">
              <a:extLst>
                <a:ext uri="{FF2B5EF4-FFF2-40B4-BE49-F238E27FC236}">
                  <a16:creationId xmlns:a16="http://schemas.microsoft.com/office/drawing/2014/main" id="{DF5421E3-8501-A503-AF45-CD41E5652EEB}"/>
                </a:ext>
              </a:extLst>
            </xdr:cNvPr>
            <xdr:cNvPicPr>
              <a:picLocks noChangeAspect="1" noChangeArrowheads="1"/>
              <a:extLst>
                <a:ext uri="{84589F7E-364E-4C9E-8A38-B11213B215E9}">
                  <a14:cameraTool cellRange="'CALCOLI STS (slab to slab)'!$D$110:$K$129" spid="_x0000_s9680"/>
                </a:ext>
              </a:extLst>
            </xdr:cNvPicPr>
          </xdr:nvPicPr>
          <xdr:blipFill>
            <a:blip xmlns:r="http://schemas.openxmlformats.org/officeDocument/2006/relationships" r:embed="rId19"/>
            <a:srcRect/>
            <a:stretch>
              <a:fillRect/>
            </a:stretch>
          </xdr:blipFill>
          <xdr:spPr bwMode="auto">
            <a:xfrm>
              <a:off x="0" y="53092350"/>
              <a:ext cx="13201650" cy="3819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113</xdr:row>
          <xdr:rowOff>19050</xdr:rowOff>
        </xdr:from>
        <xdr:to>
          <xdr:col>6</xdr:col>
          <xdr:colOff>238125</xdr:colOff>
          <xdr:row>126</xdr:row>
          <xdr:rowOff>19050</xdr:rowOff>
        </xdr:to>
        <xdr:pic>
          <xdr:nvPicPr>
            <xdr:cNvPr id="31" name="Immagine 30">
              <a:extLst>
                <a:ext uri="{FF2B5EF4-FFF2-40B4-BE49-F238E27FC236}">
                  <a16:creationId xmlns:a16="http://schemas.microsoft.com/office/drawing/2014/main" id="{10AB3F6C-1C2E-42B1-A2A4-4CD1DEB83A1D}"/>
                </a:ext>
              </a:extLst>
            </xdr:cNvPr>
            <xdr:cNvPicPr>
              <a:picLocks noChangeAspect="1" noChangeArrowheads="1"/>
              <a:extLst>
                <a:ext uri="{84589F7E-364E-4C9E-8A38-B11213B215E9}">
                  <a14:cameraTool cellRange="SCREWS!$B$25:$F$35" spid="_x0000_s9681"/>
                </a:ext>
              </a:extLst>
            </xdr:cNvPicPr>
          </xdr:nvPicPr>
          <xdr:blipFill>
            <a:blip xmlns:r="http://schemas.openxmlformats.org/officeDocument/2006/relationships" r:embed="rId20"/>
            <a:srcRect/>
            <a:stretch>
              <a:fillRect/>
            </a:stretch>
          </xdr:blipFill>
          <xdr:spPr bwMode="auto">
            <a:xfrm>
              <a:off x="0" y="18316575"/>
              <a:ext cx="4352925" cy="2105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126</xdr:row>
          <xdr:rowOff>142875</xdr:rowOff>
        </xdr:from>
        <xdr:to>
          <xdr:col>5</xdr:col>
          <xdr:colOff>9525</xdr:colOff>
          <xdr:row>136</xdr:row>
          <xdr:rowOff>57150</xdr:rowOff>
        </xdr:to>
        <xdr:pic>
          <xdr:nvPicPr>
            <xdr:cNvPr id="34" name="Immagine 33">
              <a:extLst>
                <a:ext uri="{FF2B5EF4-FFF2-40B4-BE49-F238E27FC236}">
                  <a16:creationId xmlns:a16="http://schemas.microsoft.com/office/drawing/2014/main" id="{681ED209-046C-4EA0-B74F-C26024CDAFC2}"/>
                </a:ext>
              </a:extLst>
            </xdr:cNvPr>
            <xdr:cNvPicPr>
              <a:picLocks noChangeAspect="1" noChangeArrowheads="1"/>
              <a:extLst>
                <a:ext uri="{84589F7E-364E-4C9E-8A38-B11213B215E9}">
                  <a14:cameraTool cellRange="SCREWS!$G$37:$K$44" spid="_x0000_s9682"/>
                </a:ext>
              </a:extLst>
            </xdr:cNvPicPr>
          </xdr:nvPicPr>
          <xdr:blipFill>
            <a:blip xmlns:r="http://schemas.openxmlformats.org/officeDocument/2006/relationships" r:embed="rId21"/>
            <a:srcRect/>
            <a:stretch>
              <a:fillRect/>
            </a:stretch>
          </xdr:blipFill>
          <xdr:spPr bwMode="auto">
            <a:xfrm>
              <a:off x="0" y="20545425"/>
              <a:ext cx="3438525" cy="1533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113</xdr:row>
          <xdr:rowOff>19050</xdr:rowOff>
        </xdr:from>
        <xdr:to>
          <xdr:col>12</xdr:col>
          <xdr:colOff>57150</xdr:colOff>
          <xdr:row>126</xdr:row>
          <xdr:rowOff>19050</xdr:rowOff>
        </xdr:to>
        <xdr:pic>
          <xdr:nvPicPr>
            <xdr:cNvPr id="35" name="Immagine 34">
              <a:extLst>
                <a:ext uri="{FF2B5EF4-FFF2-40B4-BE49-F238E27FC236}">
                  <a16:creationId xmlns:a16="http://schemas.microsoft.com/office/drawing/2014/main" id="{786EA049-357F-40DA-933E-C655C87E9B78}"/>
                </a:ext>
              </a:extLst>
            </xdr:cNvPr>
            <xdr:cNvPicPr>
              <a:picLocks noChangeAspect="1" noChangeArrowheads="1"/>
              <a:extLst>
                <a:ext uri="{84589F7E-364E-4C9E-8A38-B11213B215E9}">
                  <a14:cameraTool cellRange="SCREWS!$G$25:$K$35" spid="_x0000_s9683"/>
                </a:ext>
              </a:extLst>
            </xdr:cNvPicPr>
          </xdr:nvPicPr>
          <xdr:blipFill>
            <a:blip xmlns:r="http://schemas.openxmlformats.org/officeDocument/2006/relationships" r:embed="rId22"/>
            <a:srcRect/>
            <a:stretch>
              <a:fillRect/>
            </a:stretch>
          </xdr:blipFill>
          <xdr:spPr bwMode="auto">
            <a:xfrm>
              <a:off x="4848225" y="18316575"/>
              <a:ext cx="3438525" cy="2105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600075</xdr:colOff>
          <xdr:row>113</xdr:row>
          <xdr:rowOff>19050</xdr:rowOff>
        </xdr:from>
        <xdr:to>
          <xdr:col>19</xdr:col>
          <xdr:colOff>152400</xdr:colOff>
          <xdr:row>135</xdr:row>
          <xdr:rowOff>85725</xdr:rowOff>
        </xdr:to>
        <xdr:pic>
          <xdr:nvPicPr>
            <xdr:cNvPr id="36" name="Immagine 35">
              <a:extLst>
                <a:ext uri="{FF2B5EF4-FFF2-40B4-BE49-F238E27FC236}">
                  <a16:creationId xmlns:a16="http://schemas.microsoft.com/office/drawing/2014/main" id="{9F15D3A4-FAA2-489E-8131-8A130F312268}"/>
                </a:ext>
              </a:extLst>
            </xdr:cNvPr>
            <xdr:cNvPicPr>
              <a:picLocks noChangeAspect="1" noChangeArrowheads="1"/>
              <a:extLst>
                <a:ext uri="{84589F7E-364E-4C9E-8A38-B11213B215E9}">
                  <a14:cameraTool cellRange="SCREWS!$B$37:$F$55" spid="_x0000_s9684"/>
                </a:ext>
              </a:extLst>
            </xdr:cNvPicPr>
          </xdr:nvPicPr>
          <xdr:blipFill>
            <a:blip xmlns:r="http://schemas.openxmlformats.org/officeDocument/2006/relationships" r:embed="rId23"/>
            <a:srcRect/>
            <a:stretch>
              <a:fillRect/>
            </a:stretch>
          </xdr:blipFill>
          <xdr:spPr bwMode="auto">
            <a:xfrm>
              <a:off x="8829675" y="18316575"/>
              <a:ext cx="4352925" cy="362902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5</xdr:col>
      <xdr:colOff>161926</xdr:colOff>
      <xdr:row>307</xdr:row>
      <xdr:rowOff>104775</xdr:rowOff>
    </xdr:from>
    <xdr:to>
      <xdr:col>14</xdr:col>
      <xdr:colOff>16931</xdr:colOff>
      <xdr:row>327</xdr:row>
      <xdr:rowOff>106275</xdr:rowOff>
    </xdr:to>
    <xdr:pic>
      <xdr:nvPicPr>
        <xdr:cNvPr id="3" name="verif" descr="Immagine che contiene testo, schermata, Carattere, numero&#10;&#10;Descrizione generata automaticamente">
          <a:extLst>
            <a:ext uri="{FF2B5EF4-FFF2-40B4-BE49-F238E27FC236}">
              <a16:creationId xmlns:a16="http://schemas.microsoft.com/office/drawing/2014/main" id="{D8D92568-7CCE-42F9-AB94-EC385DD183E1}"/>
            </a:ext>
          </a:extLst>
        </xdr:cNvPr>
        <xdr:cNvPicPr>
          <a:picLocks noChangeAspect="1"/>
        </xdr:cNvPicPr>
      </xdr:nvPicPr>
      <xdr:blipFill>
        <a:blip xmlns:r="http://schemas.openxmlformats.org/officeDocument/2006/relationships" r:embed="rId24"/>
        <a:stretch>
          <a:fillRect/>
        </a:stretch>
      </xdr:blipFill>
      <xdr:spPr>
        <a:xfrm>
          <a:off x="3590926" y="49815750"/>
          <a:ext cx="6027205" cy="3240000"/>
        </a:xfrm>
        <a:prstGeom prst="rect">
          <a:avLst/>
        </a:prstGeom>
        <a:ln w="28575">
          <a:noFill/>
        </a:ln>
      </xdr:spPr>
    </xdr:pic>
    <xdr:clientData/>
  </xdr:twoCellAnchor>
  <xdr:twoCellAnchor editAs="oneCell">
    <xdr:from>
      <xdr:col>3</xdr:col>
      <xdr:colOff>0</xdr:colOff>
      <xdr:row>351</xdr:row>
      <xdr:rowOff>76200</xdr:rowOff>
    </xdr:from>
    <xdr:to>
      <xdr:col>11</xdr:col>
      <xdr:colOff>273600</xdr:colOff>
      <xdr:row>363</xdr:row>
      <xdr:rowOff>15010</xdr:rowOff>
    </xdr:to>
    <xdr:pic>
      <xdr:nvPicPr>
        <xdr:cNvPr id="27" name="rigidity" descr="Immagine che contiene diagramma, testo, linea, schizzo&#10;&#10;Descrizione generata automaticamente">
          <a:extLst>
            <a:ext uri="{FF2B5EF4-FFF2-40B4-BE49-F238E27FC236}">
              <a16:creationId xmlns:a16="http://schemas.microsoft.com/office/drawing/2014/main" id="{2012749E-DCB4-4EAB-91C3-D970BDC08944}"/>
            </a:ext>
          </a:extLst>
        </xdr:cNvPr>
        <xdr:cNvPicPr>
          <a:picLocks noChangeAspect="1"/>
        </xdr:cNvPicPr>
      </xdr:nvPicPr>
      <xdr:blipFill>
        <a:blip xmlns:r="http://schemas.openxmlformats.org/officeDocument/2006/relationships" r:embed="rId25"/>
        <a:stretch>
          <a:fillRect/>
        </a:stretch>
      </xdr:blipFill>
      <xdr:spPr>
        <a:xfrm>
          <a:off x="2057400" y="56911875"/>
          <a:ext cx="5760000" cy="1881910"/>
        </a:xfrm>
        <a:prstGeom prst="rect">
          <a:avLst/>
        </a:prstGeom>
        <a:ln w="12700">
          <a:noFill/>
        </a:ln>
      </xdr:spPr>
    </xdr:pic>
    <xdr:clientData/>
  </xdr:twoCellAnchor>
  <xdr:twoCellAnchor editAs="oneCell">
    <xdr:from>
      <xdr:col>11</xdr:col>
      <xdr:colOff>238125</xdr:colOff>
      <xdr:row>351</xdr:row>
      <xdr:rowOff>85725</xdr:rowOff>
    </xdr:from>
    <xdr:to>
      <xdr:col>19</xdr:col>
      <xdr:colOff>151725</xdr:colOff>
      <xdr:row>357</xdr:row>
      <xdr:rowOff>1802</xdr:rowOff>
    </xdr:to>
    <xdr:pic>
      <xdr:nvPicPr>
        <xdr:cNvPr id="28" name="RotStiff">
          <a:extLst>
            <a:ext uri="{FF2B5EF4-FFF2-40B4-BE49-F238E27FC236}">
              <a16:creationId xmlns:a16="http://schemas.microsoft.com/office/drawing/2014/main" id="{7DE4DE6D-0141-45F6-9420-71D06A5FF034}"/>
            </a:ext>
          </a:extLst>
        </xdr:cNvPr>
        <xdr:cNvPicPr>
          <a:picLocks noChangeAspect="1"/>
        </xdr:cNvPicPr>
      </xdr:nvPicPr>
      <xdr:blipFill>
        <a:blip xmlns:r="http://schemas.openxmlformats.org/officeDocument/2006/relationships" r:embed="rId26"/>
        <a:stretch>
          <a:fillRect/>
        </a:stretch>
      </xdr:blipFill>
      <xdr:spPr>
        <a:xfrm>
          <a:off x="7781925" y="56921400"/>
          <a:ext cx="5400000" cy="887627"/>
        </a:xfrm>
        <a:prstGeom prst="rect">
          <a:avLst/>
        </a:prstGeom>
        <a:ln w="28575">
          <a:noFill/>
        </a:ln>
      </xdr:spPr>
    </xdr:pic>
    <xdr:clientData/>
  </xdr:twoCellAnchor>
  <xdr:twoCellAnchor editAs="oneCell">
    <xdr:from>
      <xdr:col>2</xdr:col>
      <xdr:colOff>180975</xdr:colOff>
      <xdr:row>372</xdr:row>
      <xdr:rowOff>19050</xdr:rowOff>
    </xdr:from>
    <xdr:to>
      <xdr:col>17</xdr:col>
      <xdr:colOff>229</xdr:colOff>
      <xdr:row>378</xdr:row>
      <xdr:rowOff>60109</xdr:rowOff>
    </xdr:to>
    <xdr:pic>
      <xdr:nvPicPr>
        <xdr:cNvPr id="29" name="Immagine 28">
          <a:extLst>
            <a:ext uri="{FF2B5EF4-FFF2-40B4-BE49-F238E27FC236}">
              <a16:creationId xmlns:a16="http://schemas.microsoft.com/office/drawing/2014/main" id="{812596D6-E807-4D93-8906-1E64F3412C9C}"/>
            </a:ext>
          </a:extLst>
        </xdr:cNvPr>
        <xdr:cNvPicPr>
          <a:picLocks noChangeAspect="1"/>
        </xdr:cNvPicPr>
      </xdr:nvPicPr>
      <xdr:blipFill>
        <a:blip xmlns:r="http://schemas.openxmlformats.org/officeDocument/2006/relationships" r:embed="rId27"/>
        <a:stretch>
          <a:fillRect/>
        </a:stretch>
      </xdr:blipFill>
      <xdr:spPr>
        <a:xfrm>
          <a:off x="1552575" y="61321950"/>
          <a:ext cx="10106254" cy="1012609"/>
        </a:xfrm>
        <a:prstGeom prst="rect">
          <a:avLst/>
        </a:prstGeom>
      </xdr:spPr>
    </xdr:pic>
    <xdr:clientData/>
  </xdr:twoCellAnchor>
  <xdr:twoCellAnchor editAs="oneCell">
    <xdr:from>
      <xdr:col>9</xdr:col>
      <xdr:colOff>400050</xdr:colOff>
      <xdr:row>213</xdr:row>
      <xdr:rowOff>0</xdr:rowOff>
    </xdr:from>
    <xdr:to>
      <xdr:col>19</xdr:col>
      <xdr:colOff>22050</xdr:colOff>
      <xdr:row>233</xdr:row>
      <xdr:rowOff>141209</xdr:rowOff>
    </xdr:to>
    <xdr:pic>
      <xdr:nvPicPr>
        <xdr:cNvPr id="7" name="Immagine 6" descr="Immagine che contiene diagramma, Parallelo, linea, Rettangolo&#10;&#10;Descrizione generata automaticamente">
          <a:extLst>
            <a:ext uri="{FF2B5EF4-FFF2-40B4-BE49-F238E27FC236}">
              <a16:creationId xmlns:a16="http://schemas.microsoft.com/office/drawing/2014/main" id="{CD22B065-DEC4-9D61-398B-A9D772CF8733}"/>
            </a:ext>
          </a:extLst>
        </xdr:cNvPr>
        <xdr:cNvPicPr>
          <a:picLocks noChangeAspect="1"/>
        </xdr:cNvPicPr>
      </xdr:nvPicPr>
      <xdr:blipFill rotWithShape="1">
        <a:blip xmlns:r="http://schemas.openxmlformats.org/officeDocument/2006/relationships" r:embed="rId28"/>
        <a:srcRect t="5082"/>
        <a:stretch/>
      </xdr:blipFill>
      <xdr:spPr>
        <a:xfrm>
          <a:off x="6572250" y="34490025"/>
          <a:ext cx="6480000" cy="3379709"/>
        </a:xfrm>
        <a:prstGeom prst="rect">
          <a:avLst/>
        </a:prstGeom>
      </xdr:spPr>
    </xdr:pic>
    <xdr:clientData/>
  </xdr:twoCellAnchor>
  <xdr:twoCellAnchor editAs="oneCell">
    <xdr:from>
      <xdr:col>4</xdr:col>
      <xdr:colOff>257175</xdr:colOff>
      <xdr:row>48</xdr:row>
      <xdr:rowOff>9526</xdr:rowOff>
    </xdr:from>
    <xdr:to>
      <xdr:col>14</xdr:col>
      <xdr:colOff>599175</xdr:colOff>
      <xdr:row>73</xdr:row>
      <xdr:rowOff>33196</xdr:rowOff>
    </xdr:to>
    <xdr:pic>
      <xdr:nvPicPr>
        <xdr:cNvPr id="18" name="Concept_rep" descr="Immagine che contiene scatola, contenitore, testo&#10;&#10;Descrizione generata automaticamente">
          <a:extLst>
            <a:ext uri="{FF2B5EF4-FFF2-40B4-BE49-F238E27FC236}">
              <a16:creationId xmlns:a16="http://schemas.microsoft.com/office/drawing/2014/main" id="{FCD07CD2-956E-4D13-9882-706FABF4A17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3000375" y="7781926"/>
          <a:ext cx="7200000" cy="4071795"/>
        </a:xfrm>
        <a:prstGeom prst="rect">
          <a:avLst/>
        </a:prstGeom>
        <a:noFill/>
        <a:ln w="28575">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c:userShapes xmlns:c="http://schemas.openxmlformats.org/drawingml/2006/chart">
  <cdr:relSizeAnchor xmlns:cdr="http://schemas.openxmlformats.org/drawingml/2006/chartDrawing">
    <cdr:from>
      <cdr:x>0.19955</cdr:x>
      <cdr:y>0.12649</cdr:y>
    </cdr:from>
    <cdr:to>
      <cdr:x>0.37271</cdr:x>
      <cdr:y>0.42133</cdr:y>
    </cdr:to>
    <cdr:sp macro="" textlink="">
      <cdr:nvSpPr>
        <cdr:cNvPr id="2" name="CasellaDiTesto 1">
          <a:extLst xmlns:a="http://schemas.openxmlformats.org/drawingml/2006/main">
            <a:ext uri="{FF2B5EF4-FFF2-40B4-BE49-F238E27FC236}">
              <a16:creationId xmlns:a16="http://schemas.microsoft.com/office/drawing/2014/main" id="{3BF3F642-88C3-2E2F-62B2-4175D1A6AC1B}"/>
            </a:ext>
          </a:extLst>
        </cdr:cNvPr>
        <cdr:cNvSpPr txBox="1"/>
      </cdr:nvSpPr>
      <cdr:spPr>
        <a:xfrm xmlns:a="http://schemas.openxmlformats.org/drawingml/2006/main">
          <a:off x="1053750" y="392288"/>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it-IT" sz="1100"/>
            <a:t>CLT</a:t>
          </a:r>
        </a:p>
      </cdr:txBody>
    </cdr:sp>
  </cdr:relSizeAnchor>
  <cdr:relSizeAnchor xmlns:cdr="http://schemas.openxmlformats.org/drawingml/2006/chartDrawing">
    <cdr:from>
      <cdr:x>0.68963</cdr:x>
      <cdr:y>0.12695</cdr:y>
    </cdr:from>
    <cdr:to>
      <cdr:x>0.86279</cdr:x>
      <cdr:y>0.42179</cdr:y>
    </cdr:to>
    <cdr:sp macro="" textlink="">
      <cdr:nvSpPr>
        <cdr:cNvPr id="3" name="CasellaDiTesto 1">
          <a:extLst xmlns:a="http://schemas.openxmlformats.org/drawingml/2006/main">
            <a:ext uri="{FF2B5EF4-FFF2-40B4-BE49-F238E27FC236}">
              <a16:creationId xmlns:a16="http://schemas.microsoft.com/office/drawing/2014/main" id="{6D4760E0-7965-A602-B6F8-153E0756D85C}"/>
            </a:ext>
          </a:extLst>
        </cdr:cNvPr>
        <cdr:cNvSpPr txBox="1"/>
      </cdr:nvSpPr>
      <cdr:spPr>
        <a:xfrm xmlns:a="http://schemas.openxmlformats.org/drawingml/2006/main">
          <a:off x="3641725" y="393700"/>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100"/>
            <a:t>CLT</a:t>
          </a:r>
        </a:p>
      </cdr:txBody>
    </cdr:sp>
  </cdr:relSizeAnchor>
  <cdr:relSizeAnchor xmlns:cdr="http://schemas.openxmlformats.org/drawingml/2006/chartDrawing">
    <cdr:from>
      <cdr:x>0.46236</cdr:x>
      <cdr:y>0.29848</cdr:y>
    </cdr:from>
    <cdr:to>
      <cdr:x>0.50799</cdr:x>
      <cdr:y>0.6982</cdr:y>
    </cdr:to>
    <cdr:sp macro="" textlink="">
      <cdr:nvSpPr>
        <cdr:cNvPr id="4" name="CasellaDiTesto 1">
          <a:extLst xmlns:a="http://schemas.openxmlformats.org/drawingml/2006/main">
            <a:ext uri="{FF2B5EF4-FFF2-40B4-BE49-F238E27FC236}">
              <a16:creationId xmlns:a16="http://schemas.microsoft.com/office/drawing/2014/main" id="{6D4760E0-7965-A602-B6F8-153E0756D85C}"/>
            </a:ext>
          </a:extLst>
        </cdr:cNvPr>
        <cdr:cNvSpPr txBox="1"/>
      </cdr:nvSpPr>
      <cdr:spPr>
        <a:xfrm xmlns:a="http://schemas.openxmlformats.org/drawingml/2006/main" rot="16200000">
          <a:off x="1942219" y="1425044"/>
          <a:ext cx="1239662" cy="2409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100"/>
            <a:t>CONCRETE</a:t>
          </a:r>
          <a:r>
            <a:rPr lang="it-IT" sz="1100" baseline="0"/>
            <a:t> BEAM</a:t>
          </a:r>
          <a:endParaRPr lang="it-IT" sz="1100"/>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1368885</xdr:colOff>
      <xdr:row>5</xdr:row>
      <xdr:rowOff>124406</xdr:rowOff>
    </xdr:to>
    <xdr:pic>
      <xdr:nvPicPr>
        <xdr:cNvPr id="8" name="Immagine 7">
          <a:extLst>
            <a:ext uri="{FF2B5EF4-FFF2-40B4-BE49-F238E27FC236}">
              <a16:creationId xmlns:a16="http://schemas.microsoft.com/office/drawing/2014/main" id="{B3A2FB72-448E-4C06-BC64-79FEC4351B4E}"/>
            </a:ext>
          </a:extLst>
        </xdr:cNvPr>
        <xdr:cNvPicPr>
          <a:picLocks noChangeAspect="1"/>
        </xdr:cNvPicPr>
      </xdr:nvPicPr>
      <xdr:blipFill rotWithShape="1">
        <a:blip xmlns:r="http://schemas.openxmlformats.org/officeDocument/2006/relationships" r:embed="rId1"/>
        <a:srcRect l="7792" t="6154" r="5195" b="7679"/>
        <a:stretch/>
      </xdr:blipFill>
      <xdr:spPr>
        <a:xfrm>
          <a:off x="428625" y="161925"/>
          <a:ext cx="1797510" cy="772106"/>
        </a:xfrm>
        <a:prstGeom prst="rect">
          <a:avLst/>
        </a:prstGeom>
      </xdr:spPr>
    </xdr:pic>
    <xdr:clientData/>
  </xdr:twoCellAnchor>
  <xdr:twoCellAnchor>
    <xdr:from>
      <xdr:col>3</xdr:col>
      <xdr:colOff>1857376</xdr:colOff>
      <xdr:row>60</xdr:row>
      <xdr:rowOff>28575</xdr:rowOff>
    </xdr:from>
    <xdr:to>
      <xdr:col>3</xdr:col>
      <xdr:colOff>3714750</xdr:colOff>
      <xdr:row>62</xdr:row>
      <xdr:rowOff>123825</xdr:rowOff>
    </xdr:to>
    <xdr:sp macro="" textlink="">
      <xdr:nvSpPr>
        <xdr:cNvPr id="9" name="CasellaDiTesto 8">
          <a:hlinkClick xmlns:r="http://schemas.openxmlformats.org/officeDocument/2006/relationships" r:id="rId2"/>
          <a:extLst>
            <a:ext uri="{FF2B5EF4-FFF2-40B4-BE49-F238E27FC236}">
              <a16:creationId xmlns:a16="http://schemas.microsoft.com/office/drawing/2014/main" id="{14E2B644-C2DC-74F4-FA96-D531E049E892}"/>
            </a:ext>
          </a:extLst>
        </xdr:cNvPr>
        <xdr:cNvSpPr txBox="1"/>
      </xdr:nvSpPr>
      <xdr:spPr>
        <a:xfrm>
          <a:off x="4133851" y="23602950"/>
          <a:ext cx="1857374"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it-IT" sz="1400" b="1" u="sng">
            <a:solidFill>
              <a:schemeClr val="bg1"/>
            </a:solidFill>
            <a:latin typeface="Verdana" panose="020B0604030504040204" pitchFamily="34" charset="0"/>
            <a:ea typeface="Verdana" panose="020B060403050404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0</xdr:colOff>
      <xdr:row>98</xdr:row>
      <xdr:rowOff>38100</xdr:rowOff>
    </xdr:from>
    <xdr:to>
      <xdr:col>9</xdr:col>
      <xdr:colOff>476479</xdr:colOff>
      <xdr:row>104</xdr:row>
      <xdr:rowOff>79159</xdr:rowOff>
    </xdr:to>
    <xdr:pic>
      <xdr:nvPicPr>
        <xdr:cNvPr id="29" name="Immagine 28">
          <a:extLst>
            <a:ext uri="{FF2B5EF4-FFF2-40B4-BE49-F238E27FC236}">
              <a16:creationId xmlns:a16="http://schemas.microsoft.com/office/drawing/2014/main" id="{7F1AE7BB-B05F-4E5A-9A63-AE57329C7338}"/>
            </a:ext>
          </a:extLst>
        </xdr:cNvPr>
        <xdr:cNvPicPr>
          <a:picLocks noChangeAspect="1"/>
        </xdr:cNvPicPr>
      </xdr:nvPicPr>
      <xdr:blipFill>
        <a:blip xmlns:r="http://schemas.openxmlformats.org/officeDocument/2006/relationships" r:embed="rId1"/>
        <a:stretch>
          <a:fillRect/>
        </a:stretch>
      </xdr:blipFill>
      <xdr:spPr>
        <a:xfrm>
          <a:off x="2057400" y="18449925"/>
          <a:ext cx="10115779" cy="1012609"/>
        </a:xfrm>
        <a:prstGeom prst="rect">
          <a:avLst/>
        </a:prstGeom>
      </xdr:spPr>
    </xdr:pic>
    <xdr:clientData/>
  </xdr:twoCellAnchor>
  <xdr:twoCellAnchor editAs="oneCell">
    <xdr:from>
      <xdr:col>10</xdr:col>
      <xdr:colOff>2034990</xdr:colOff>
      <xdr:row>32</xdr:row>
      <xdr:rowOff>128879</xdr:rowOff>
    </xdr:from>
    <xdr:to>
      <xdr:col>10</xdr:col>
      <xdr:colOff>2248368</xdr:colOff>
      <xdr:row>33</xdr:row>
      <xdr:rowOff>168589</xdr:rowOff>
    </xdr:to>
    <xdr:pic macro="[0]!Orientamento">
      <xdr:nvPicPr>
        <xdr:cNvPr id="10" name="Immagine 9">
          <a:extLst>
            <a:ext uri="{FF2B5EF4-FFF2-40B4-BE49-F238E27FC236}">
              <a16:creationId xmlns:a16="http://schemas.microsoft.com/office/drawing/2014/main" id="{43103814-053F-4B8F-874F-2B81E67C69B7}"/>
            </a:ext>
          </a:extLst>
        </xdr:cNvPr>
        <xdr:cNvPicPr>
          <a:picLocks noChangeAspect="1"/>
        </xdr:cNvPicPr>
      </xdr:nvPicPr>
      <xdr:blipFill>
        <a:blip xmlns:r="http://schemas.openxmlformats.org/officeDocument/2006/relationships" r:embed="rId2"/>
        <a:stretch>
          <a:fillRect/>
        </a:stretch>
      </xdr:blipFill>
      <xdr:spPr>
        <a:xfrm>
          <a:off x="15000196" y="5608555"/>
          <a:ext cx="213378" cy="234020"/>
        </a:xfrm>
        <a:prstGeom prst="rect">
          <a:avLst/>
        </a:prstGeom>
      </xdr:spPr>
    </xdr:pic>
    <xdr:clientData/>
  </xdr:twoCellAnchor>
  <xdr:twoCellAnchor editAs="oneCell">
    <xdr:from>
      <xdr:col>3</xdr:col>
      <xdr:colOff>0</xdr:colOff>
      <xdr:row>1</xdr:row>
      <xdr:rowOff>0</xdr:rowOff>
    </xdr:from>
    <xdr:to>
      <xdr:col>3</xdr:col>
      <xdr:colOff>1810348</xdr:colOff>
      <xdr:row>6</xdr:row>
      <xdr:rowOff>2189</xdr:rowOff>
    </xdr:to>
    <xdr:pic>
      <xdr:nvPicPr>
        <xdr:cNvPr id="13" name="Immagine 12">
          <a:extLst>
            <a:ext uri="{FF2B5EF4-FFF2-40B4-BE49-F238E27FC236}">
              <a16:creationId xmlns:a16="http://schemas.microsoft.com/office/drawing/2014/main" id="{46BBB3EA-B38E-48A2-B208-1B9D2B472608}"/>
            </a:ext>
          </a:extLst>
        </xdr:cNvPr>
        <xdr:cNvPicPr>
          <a:picLocks noChangeAspect="1"/>
        </xdr:cNvPicPr>
      </xdr:nvPicPr>
      <xdr:blipFill rotWithShape="1">
        <a:blip xmlns:r="http://schemas.openxmlformats.org/officeDocument/2006/relationships" r:embed="rId3"/>
        <a:srcRect l="7792" t="6154" r="5195" b="7679"/>
        <a:stretch/>
      </xdr:blipFill>
      <xdr:spPr>
        <a:xfrm>
          <a:off x="2057400" y="971550"/>
          <a:ext cx="1800823" cy="811814"/>
        </a:xfrm>
        <a:prstGeom prst="rect">
          <a:avLst/>
        </a:prstGeom>
      </xdr:spPr>
    </xdr:pic>
    <xdr:clientData/>
  </xdr:twoCellAnchor>
  <xdr:twoCellAnchor editAs="oneCell">
    <xdr:from>
      <xdr:col>11</xdr:col>
      <xdr:colOff>99885</xdr:colOff>
      <xdr:row>7</xdr:row>
      <xdr:rowOff>71061</xdr:rowOff>
    </xdr:from>
    <xdr:to>
      <xdr:col>17</xdr:col>
      <xdr:colOff>668655</xdr:colOff>
      <xdr:row>24</xdr:row>
      <xdr:rowOff>22448</xdr:rowOff>
    </xdr:to>
    <xdr:pic>
      <xdr:nvPicPr>
        <xdr:cNvPr id="7" name="tcfusion" descr="Immagine che contiene letto, legname&#10;&#10;Descrizione generata automaticamente">
          <a:extLst>
            <a:ext uri="{FF2B5EF4-FFF2-40B4-BE49-F238E27FC236}">
              <a16:creationId xmlns:a16="http://schemas.microsoft.com/office/drawing/2014/main" id="{1E7C8171-CC3D-4962-9358-7D4F1413964A}"/>
            </a:ext>
          </a:extLst>
        </xdr:cNvPr>
        <xdr:cNvPicPr>
          <a:picLocks noChangeAspect="1"/>
        </xdr:cNvPicPr>
      </xdr:nvPicPr>
      <xdr:blipFill>
        <a:blip xmlns:r="http://schemas.openxmlformats.org/officeDocument/2006/relationships" r:embed="rId4"/>
        <a:stretch>
          <a:fillRect/>
        </a:stretch>
      </xdr:blipFill>
      <xdr:spPr>
        <a:xfrm>
          <a:off x="13977810" y="1204536"/>
          <a:ext cx="6529515" cy="2812697"/>
        </a:xfrm>
        <a:prstGeom prst="rect">
          <a:avLst/>
        </a:prstGeom>
      </xdr:spPr>
    </xdr:pic>
    <xdr:clientData/>
  </xdr:twoCellAnchor>
  <xdr:twoCellAnchor>
    <xdr:from>
      <xdr:col>7</xdr:col>
      <xdr:colOff>641700</xdr:colOff>
      <xdr:row>15</xdr:row>
      <xdr:rowOff>141112</xdr:rowOff>
    </xdr:from>
    <xdr:to>
      <xdr:col>10</xdr:col>
      <xdr:colOff>2264760</xdr:colOff>
      <xdr:row>32</xdr:row>
      <xdr:rowOff>3929</xdr:rowOff>
    </xdr:to>
    <xdr:graphicFrame macro="">
      <xdr:nvGraphicFramePr>
        <xdr:cNvPr id="20" name="Orientamento" hidden="1">
          <a:extLst>
            <a:ext uri="{FF2B5EF4-FFF2-40B4-BE49-F238E27FC236}">
              <a16:creationId xmlns:a16="http://schemas.microsoft.com/office/drawing/2014/main" id="{214D1B63-A0E0-44D5-951D-9E986A8673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2412882</xdr:colOff>
      <xdr:row>35</xdr:row>
      <xdr:rowOff>11760</xdr:rowOff>
    </xdr:from>
    <xdr:to>
      <xdr:col>10</xdr:col>
      <xdr:colOff>2268887</xdr:colOff>
      <xdr:row>47</xdr:row>
      <xdr:rowOff>22966</xdr:rowOff>
    </xdr:to>
    <xdr:graphicFrame macro="">
      <xdr:nvGraphicFramePr>
        <xdr:cNvPr id="22" name="Graph_section" hidden="1">
          <a:extLst>
            <a:ext uri="{FF2B5EF4-FFF2-40B4-BE49-F238E27FC236}">
              <a16:creationId xmlns:a16="http://schemas.microsoft.com/office/drawing/2014/main" id="{72FD4DC2-33EB-400B-8B9C-1A3BC973F6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166868</xdr:colOff>
      <xdr:row>47</xdr:row>
      <xdr:rowOff>23522</xdr:rowOff>
    </xdr:from>
    <xdr:to>
      <xdr:col>10</xdr:col>
      <xdr:colOff>2267361</xdr:colOff>
      <xdr:row>59</xdr:row>
      <xdr:rowOff>16694</xdr:rowOff>
    </xdr:to>
    <xdr:graphicFrame macro="">
      <xdr:nvGraphicFramePr>
        <xdr:cNvPr id="23" name="Graph_position" hidden="1">
          <a:extLst>
            <a:ext uri="{FF2B5EF4-FFF2-40B4-BE49-F238E27FC236}">
              <a16:creationId xmlns:a16="http://schemas.microsoft.com/office/drawing/2014/main" id="{000F76FA-FC0C-4B2B-A4E2-45D3B691EA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723899</xdr:colOff>
      <xdr:row>42</xdr:row>
      <xdr:rowOff>152400</xdr:rowOff>
    </xdr:from>
    <xdr:to>
      <xdr:col>3</xdr:col>
      <xdr:colOff>1803899</xdr:colOff>
      <xdr:row>46</xdr:row>
      <xdr:rowOff>38400</xdr:rowOff>
    </xdr:to>
    <xdr:sp macro="" textlink="">
      <xdr:nvSpPr>
        <xdr:cNvPr id="5" name="Rettangolo con angoli arrotondati 4">
          <a:hlinkClick xmlns:r="http://schemas.openxmlformats.org/officeDocument/2006/relationships" r:id="rId8"/>
          <a:extLst>
            <a:ext uri="{FF2B5EF4-FFF2-40B4-BE49-F238E27FC236}">
              <a16:creationId xmlns:a16="http://schemas.microsoft.com/office/drawing/2014/main" id="{FC47D9D0-4081-F16F-4837-BD49E10223DE}"/>
            </a:ext>
          </a:extLst>
        </xdr:cNvPr>
        <xdr:cNvSpPr/>
      </xdr:nvSpPr>
      <xdr:spPr>
        <a:xfrm>
          <a:off x="2781299" y="7572375"/>
          <a:ext cx="1080000" cy="648000"/>
        </a:xfrm>
        <a:prstGeom prst="roundRect">
          <a:avLst/>
        </a:prstGeom>
        <a:solidFill>
          <a:schemeClr val="accent1">
            <a:lumMod val="20000"/>
            <a:lumOff val="80000"/>
          </a:schemeClr>
        </a:solidFill>
        <a:ln>
          <a:solidFill>
            <a:schemeClr val="accent1">
              <a:lumMod val="75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a:solidFill>
                <a:sysClr val="windowText" lastClr="000000"/>
              </a:solidFill>
              <a:effectLst/>
            </a:rPr>
            <a:t>SCREWS</a:t>
          </a:r>
          <a:r>
            <a:rPr lang="it-IT" sz="1000" b="1" baseline="0">
              <a:solidFill>
                <a:sysClr val="windowText" lastClr="000000"/>
              </a:solidFill>
              <a:effectLst/>
            </a:rPr>
            <a:t> PROPRIETIES</a:t>
          </a:r>
        </a:p>
        <a:p>
          <a:pPr marL="0" marR="0" lvl="0" indent="0" algn="ctr" defTabSz="914400" eaLnBrk="1" fontAlgn="auto" latinLnBrk="0" hangingPunct="1">
            <a:lnSpc>
              <a:spcPct val="100000"/>
            </a:lnSpc>
            <a:spcBef>
              <a:spcPts val="0"/>
            </a:spcBef>
            <a:spcAft>
              <a:spcPts val="0"/>
            </a:spcAft>
            <a:buClrTx/>
            <a:buSzTx/>
            <a:buFontTx/>
            <a:buNone/>
            <a:tabLst/>
            <a:defRPr/>
          </a:pPr>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a:p>
          <a:pPr algn="ctr"/>
          <a:endParaRPr lang="it-IT" sz="1000" b="1">
            <a:solidFill>
              <a:sysClr val="windowText" lastClr="000000"/>
            </a:solidFill>
            <a:effectLst/>
          </a:endParaRPr>
        </a:p>
      </xdr:txBody>
    </xdr:sp>
    <xdr:clientData/>
  </xdr:twoCellAnchor>
  <xdr:twoCellAnchor>
    <xdr:from>
      <xdr:col>3</xdr:col>
      <xdr:colOff>714374</xdr:colOff>
      <xdr:row>55</xdr:row>
      <xdr:rowOff>47625</xdr:rowOff>
    </xdr:from>
    <xdr:to>
      <xdr:col>3</xdr:col>
      <xdr:colOff>1794374</xdr:colOff>
      <xdr:row>58</xdr:row>
      <xdr:rowOff>124125</xdr:rowOff>
    </xdr:to>
    <xdr:sp macro="" textlink="">
      <xdr:nvSpPr>
        <xdr:cNvPr id="8" name="Rettangolo con angoli arrotondati 7">
          <a:hlinkClick xmlns:r="http://schemas.openxmlformats.org/officeDocument/2006/relationships" r:id="rId9"/>
          <a:extLst>
            <a:ext uri="{FF2B5EF4-FFF2-40B4-BE49-F238E27FC236}">
              <a16:creationId xmlns:a16="http://schemas.microsoft.com/office/drawing/2014/main" id="{A1EE0977-2606-472F-A83A-8F1659A99CBC}"/>
            </a:ext>
          </a:extLst>
        </xdr:cNvPr>
        <xdr:cNvSpPr/>
      </xdr:nvSpPr>
      <xdr:spPr>
        <a:xfrm>
          <a:off x="2771774" y="9944100"/>
          <a:ext cx="1080000" cy="648000"/>
        </a:xfrm>
        <a:prstGeom prst="roundRect">
          <a:avLst/>
        </a:prstGeom>
        <a:solidFill>
          <a:schemeClr val="accent1">
            <a:lumMod val="20000"/>
            <a:lumOff val="80000"/>
          </a:schemeClr>
        </a:solidFill>
        <a:ln>
          <a:solidFill>
            <a:schemeClr val="accent1">
              <a:lumMod val="75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CONCRETE PROPRIETIES</a:t>
          </a:r>
        </a:p>
        <a:p>
          <a:pPr marL="0" marR="0" lvl="0" indent="0" algn="ctr" defTabSz="914400" eaLnBrk="1" fontAlgn="auto" latinLnBrk="0" hangingPunct="1">
            <a:lnSpc>
              <a:spcPct val="100000"/>
            </a:lnSpc>
            <a:spcBef>
              <a:spcPts val="0"/>
            </a:spcBef>
            <a:spcAft>
              <a:spcPts val="0"/>
            </a:spcAft>
            <a:buClrTx/>
            <a:buSzTx/>
            <a:buFontTx/>
            <a:buNone/>
            <a:tabLst/>
            <a:defRPr/>
          </a:pPr>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a:p>
          <a:pPr algn="ctr"/>
          <a:endParaRPr lang="it-IT" sz="1000" b="1">
            <a:solidFill>
              <a:sysClr val="windowText" lastClr="000000"/>
            </a:solidFill>
            <a:effectLst/>
          </a:endParaRPr>
        </a:p>
      </xdr:txBody>
    </xdr:sp>
    <xdr:clientData/>
  </xdr:twoCellAnchor>
  <xdr:twoCellAnchor>
    <xdr:from>
      <xdr:col>3</xdr:col>
      <xdr:colOff>723899</xdr:colOff>
      <xdr:row>71</xdr:row>
      <xdr:rowOff>57150</xdr:rowOff>
    </xdr:from>
    <xdr:to>
      <xdr:col>3</xdr:col>
      <xdr:colOff>1803899</xdr:colOff>
      <xdr:row>74</xdr:row>
      <xdr:rowOff>133650</xdr:rowOff>
    </xdr:to>
    <xdr:sp macro="" textlink="">
      <xdr:nvSpPr>
        <xdr:cNvPr id="9" name="Rettangolo con angoli arrotondati 8">
          <a:hlinkClick xmlns:r="http://schemas.openxmlformats.org/officeDocument/2006/relationships" r:id="rId10"/>
          <a:extLst>
            <a:ext uri="{FF2B5EF4-FFF2-40B4-BE49-F238E27FC236}">
              <a16:creationId xmlns:a16="http://schemas.microsoft.com/office/drawing/2014/main" id="{F14ECD34-78BF-4693-BA3D-01F297D70783}"/>
            </a:ext>
          </a:extLst>
        </xdr:cNvPr>
        <xdr:cNvSpPr/>
      </xdr:nvSpPr>
      <xdr:spPr>
        <a:xfrm>
          <a:off x="2781299" y="13001625"/>
          <a:ext cx="1080000" cy="64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CLT EDGE DISTANCE</a:t>
          </a:r>
        </a:p>
        <a:p>
          <a:pPr marL="0" marR="0" lvl="0" indent="0" algn="ctr" defTabSz="914400" eaLnBrk="1" fontAlgn="auto" latinLnBrk="0" hangingPunct="1">
            <a:lnSpc>
              <a:spcPct val="100000"/>
            </a:lnSpc>
            <a:spcBef>
              <a:spcPts val="0"/>
            </a:spcBef>
            <a:spcAft>
              <a:spcPts val="0"/>
            </a:spcAft>
            <a:buClrTx/>
            <a:buSzTx/>
            <a:buFontTx/>
            <a:buNone/>
            <a:tabLst/>
            <a:defRPr/>
          </a:pPr>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a:p>
          <a:pPr algn="ctr"/>
          <a:endParaRPr lang="it-IT" sz="1000" b="1">
            <a:solidFill>
              <a:sysClr val="windowText" lastClr="000000"/>
            </a:solidFill>
            <a:effectLst/>
          </a:endParaRPr>
        </a:p>
      </xdr:txBody>
    </xdr:sp>
    <xdr:clientData/>
  </xdr:twoCellAnchor>
  <xdr:twoCellAnchor editAs="oneCell">
    <xdr:from>
      <xdr:col>3</xdr:col>
      <xdr:colOff>1869722</xdr:colOff>
      <xdr:row>22</xdr:row>
      <xdr:rowOff>82315</xdr:rowOff>
    </xdr:from>
    <xdr:to>
      <xdr:col>3</xdr:col>
      <xdr:colOff>2079290</xdr:colOff>
      <xdr:row>23</xdr:row>
      <xdr:rowOff>129645</xdr:rowOff>
    </xdr:to>
    <xdr:pic macro="[0]!Loads">
      <xdr:nvPicPr>
        <xdr:cNvPr id="4" name="Immagine 3">
          <a:extLst>
            <a:ext uri="{FF2B5EF4-FFF2-40B4-BE49-F238E27FC236}">
              <a16:creationId xmlns:a16="http://schemas.microsoft.com/office/drawing/2014/main" id="{4DA2EA95-47E6-4C35-B908-F5BD885ABF3F}"/>
            </a:ext>
          </a:extLst>
        </xdr:cNvPr>
        <xdr:cNvPicPr>
          <a:picLocks noChangeAspect="1"/>
        </xdr:cNvPicPr>
      </xdr:nvPicPr>
      <xdr:blipFill>
        <a:blip xmlns:r="http://schemas.openxmlformats.org/officeDocument/2006/relationships" r:embed="rId2"/>
        <a:stretch>
          <a:fillRect/>
        </a:stretch>
      </xdr:blipFill>
      <xdr:spPr>
        <a:xfrm>
          <a:off x="3915833" y="3680648"/>
          <a:ext cx="213378" cy="231668"/>
        </a:xfrm>
        <a:prstGeom prst="rect">
          <a:avLst/>
        </a:prstGeom>
      </xdr:spPr>
    </xdr:pic>
    <xdr:clientData/>
  </xdr:twoCellAnchor>
  <xdr:twoCellAnchor editAs="oneCell">
    <xdr:from>
      <xdr:col>3</xdr:col>
      <xdr:colOff>1551285</xdr:colOff>
      <xdr:row>41</xdr:row>
      <xdr:rowOff>69613</xdr:rowOff>
    </xdr:from>
    <xdr:to>
      <xdr:col>3</xdr:col>
      <xdr:colOff>1768473</xdr:colOff>
      <xdr:row>42</xdr:row>
      <xdr:rowOff>113133</xdr:rowOff>
    </xdr:to>
    <xdr:pic macro="[0]!Graph">
      <xdr:nvPicPr>
        <xdr:cNvPr id="11" name="Immagine 10">
          <a:extLst>
            <a:ext uri="{FF2B5EF4-FFF2-40B4-BE49-F238E27FC236}">
              <a16:creationId xmlns:a16="http://schemas.microsoft.com/office/drawing/2014/main" id="{8801D84B-47D7-497A-B708-02ACAA0B550B}"/>
            </a:ext>
          </a:extLst>
        </xdr:cNvPr>
        <xdr:cNvPicPr>
          <a:picLocks noChangeAspect="1"/>
        </xdr:cNvPicPr>
      </xdr:nvPicPr>
      <xdr:blipFill>
        <a:blip xmlns:r="http://schemas.openxmlformats.org/officeDocument/2006/relationships" r:embed="rId2"/>
        <a:stretch>
          <a:fillRect/>
        </a:stretch>
      </xdr:blipFill>
      <xdr:spPr>
        <a:xfrm>
          <a:off x="3597396" y="7242761"/>
          <a:ext cx="213378" cy="231668"/>
        </a:xfrm>
        <a:prstGeom prst="rect">
          <a:avLst/>
        </a:prstGeom>
      </xdr:spPr>
    </xdr:pic>
    <xdr:clientData/>
  </xdr:twoCellAnchor>
  <xdr:twoCellAnchor editAs="oneCell">
    <xdr:from>
      <xdr:col>3</xdr:col>
      <xdr:colOff>2061883</xdr:colOff>
      <xdr:row>69</xdr:row>
      <xdr:rowOff>179293</xdr:rowOff>
    </xdr:from>
    <xdr:to>
      <xdr:col>3</xdr:col>
      <xdr:colOff>2265736</xdr:colOff>
      <xdr:row>71</xdr:row>
      <xdr:rowOff>18978</xdr:rowOff>
    </xdr:to>
    <xdr:pic macro="[0]!geomeff">
      <xdr:nvPicPr>
        <xdr:cNvPr id="15" name="Immagine 14">
          <a:extLst>
            <a:ext uri="{FF2B5EF4-FFF2-40B4-BE49-F238E27FC236}">
              <a16:creationId xmlns:a16="http://schemas.microsoft.com/office/drawing/2014/main" id="{EEF6CBC9-907F-49CD-BB4F-B08ADF2DAA85}"/>
            </a:ext>
          </a:extLst>
        </xdr:cNvPr>
        <xdr:cNvPicPr>
          <a:picLocks noChangeAspect="1"/>
        </xdr:cNvPicPr>
      </xdr:nvPicPr>
      <xdr:blipFill>
        <a:blip xmlns:r="http://schemas.openxmlformats.org/officeDocument/2006/relationships" r:embed="rId2"/>
        <a:stretch>
          <a:fillRect/>
        </a:stretch>
      </xdr:blipFill>
      <xdr:spPr>
        <a:xfrm>
          <a:off x="4112559" y="12707469"/>
          <a:ext cx="213378" cy="234020"/>
        </a:xfrm>
        <a:prstGeom prst="rect">
          <a:avLst/>
        </a:prstGeom>
      </xdr:spPr>
    </xdr:pic>
    <xdr:clientData/>
  </xdr:twoCellAnchor>
  <xdr:twoCellAnchor>
    <xdr:from>
      <xdr:col>3</xdr:col>
      <xdr:colOff>723899</xdr:colOff>
      <xdr:row>30</xdr:row>
      <xdr:rowOff>85725</xdr:rowOff>
    </xdr:from>
    <xdr:to>
      <xdr:col>3</xdr:col>
      <xdr:colOff>1803899</xdr:colOff>
      <xdr:row>33</xdr:row>
      <xdr:rowOff>162225</xdr:rowOff>
    </xdr:to>
    <xdr:sp macro="" textlink="">
      <xdr:nvSpPr>
        <xdr:cNvPr id="2" name="Rettangolo con angoli arrotondati 1">
          <a:hlinkClick xmlns:r="http://schemas.openxmlformats.org/officeDocument/2006/relationships" r:id="rId11"/>
          <a:extLst>
            <a:ext uri="{FF2B5EF4-FFF2-40B4-BE49-F238E27FC236}">
              <a16:creationId xmlns:a16="http://schemas.microsoft.com/office/drawing/2014/main" id="{10E87DE0-E85D-4E0B-95B8-915A644BEF28}"/>
            </a:ext>
          </a:extLst>
        </xdr:cNvPr>
        <xdr:cNvSpPr/>
      </xdr:nvSpPr>
      <xdr:spPr>
        <a:xfrm>
          <a:off x="1409699" y="5219700"/>
          <a:ext cx="1080000" cy="648000"/>
        </a:xfrm>
        <a:prstGeom prst="roundRect">
          <a:avLst/>
        </a:prstGeom>
        <a:solidFill>
          <a:schemeClr val="accent1">
            <a:lumMod val="20000"/>
            <a:lumOff val="80000"/>
          </a:schemeClr>
        </a:solidFill>
        <a:ln>
          <a:solidFill>
            <a:schemeClr val="accent1">
              <a:lumMod val="75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CLT PROPRIETIES</a:t>
          </a:r>
        </a:p>
        <a:p>
          <a:pPr marL="0" marR="0" lvl="0" indent="0" algn="ctr" defTabSz="914400" eaLnBrk="1" fontAlgn="auto" latinLnBrk="0" hangingPunct="1">
            <a:lnSpc>
              <a:spcPct val="100000"/>
            </a:lnSpc>
            <a:spcBef>
              <a:spcPts val="0"/>
            </a:spcBef>
            <a:spcAft>
              <a:spcPts val="0"/>
            </a:spcAft>
            <a:buClrTx/>
            <a:buSzTx/>
            <a:buFontTx/>
            <a:buNone/>
            <a:tabLst/>
            <a:defRPr/>
          </a:pPr>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a:p>
          <a:pPr algn="ctr"/>
          <a:endParaRPr lang="it-IT" sz="1000" b="1">
            <a:solidFill>
              <a:sysClr val="windowText" lastClr="000000"/>
            </a:solidFill>
            <a:effectLst/>
          </a:endParaRPr>
        </a:p>
      </xdr:txBody>
    </xdr:sp>
    <xdr:clientData/>
  </xdr:twoCellAnchor>
  <xdr:twoCellAnchor>
    <xdr:from>
      <xdr:col>3</xdr:col>
      <xdr:colOff>9525</xdr:colOff>
      <xdr:row>95</xdr:row>
      <xdr:rowOff>142875</xdr:rowOff>
    </xdr:from>
    <xdr:to>
      <xdr:col>6</xdr:col>
      <xdr:colOff>1856700</xdr:colOff>
      <xdr:row>98</xdr:row>
      <xdr:rowOff>96525</xdr:rowOff>
    </xdr:to>
    <xdr:sp macro="" textlink="">
      <xdr:nvSpPr>
        <xdr:cNvPr id="6" name="Rettangolo con angoli arrotondati 5">
          <a:hlinkClick xmlns:r="http://schemas.openxmlformats.org/officeDocument/2006/relationships" r:id="rId12"/>
          <a:extLst>
            <a:ext uri="{FF2B5EF4-FFF2-40B4-BE49-F238E27FC236}">
              <a16:creationId xmlns:a16="http://schemas.microsoft.com/office/drawing/2014/main" id="{1EE9D7A9-DDCC-4722-995F-E95A639FD927}"/>
            </a:ext>
          </a:extLst>
        </xdr:cNvPr>
        <xdr:cNvSpPr/>
      </xdr:nvSpPr>
      <xdr:spPr>
        <a:xfrm>
          <a:off x="2066925" y="18040350"/>
          <a:ext cx="5400000" cy="468000"/>
        </a:xfrm>
        <a:prstGeom prst="roundRect">
          <a:avLst/>
        </a:prstGeom>
        <a:solidFill>
          <a:schemeClr val="accent1">
            <a:lumMod val="20000"/>
            <a:lumOff val="80000"/>
          </a:schemeClr>
        </a:solidFill>
        <a:ln>
          <a:solidFill>
            <a:schemeClr val="accent1">
              <a:lumMod val="75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9</xdr:col>
      <xdr:colOff>649999</xdr:colOff>
      <xdr:row>2</xdr:row>
      <xdr:rowOff>139591</xdr:rowOff>
    </xdr:from>
    <xdr:to>
      <xdr:col>10</xdr:col>
      <xdr:colOff>2264224</xdr:colOff>
      <xdr:row>3</xdr:row>
      <xdr:rowOff>131425</xdr:rowOff>
    </xdr:to>
    <xdr:pic>
      <xdr:nvPicPr>
        <xdr:cNvPr id="21" name="Immagine 20">
          <a:extLst>
            <a:ext uri="{FF2B5EF4-FFF2-40B4-BE49-F238E27FC236}">
              <a16:creationId xmlns:a16="http://schemas.microsoft.com/office/drawing/2014/main" id="{08F6E3EA-2AB3-277D-BCEB-380851B10FAF}"/>
            </a:ext>
          </a:extLst>
        </xdr:cNvPr>
        <xdr:cNvPicPr>
          <a:picLocks noChangeAspect="1"/>
        </xdr:cNvPicPr>
      </xdr:nvPicPr>
      <xdr:blipFill>
        <a:blip xmlns:r="http://schemas.openxmlformats.org/officeDocument/2006/relationships" r:embed="rId13"/>
        <a:stretch>
          <a:fillRect/>
        </a:stretch>
      </xdr:blipFill>
      <xdr:spPr>
        <a:xfrm>
          <a:off x="12336189" y="468039"/>
          <a:ext cx="2880985" cy="159868"/>
        </a:xfrm>
        <a:prstGeom prst="rect">
          <a:avLst/>
        </a:prstGeom>
      </xdr:spPr>
    </xdr:pic>
    <xdr:clientData/>
  </xdr:twoCellAnchor>
  <xdr:twoCellAnchor editAs="oneCell">
    <xdr:from>
      <xdr:col>3</xdr:col>
      <xdr:colOff>1734112</xdr:colOff>
      <xdr:row>79</xdr:row>
      <xdr:rowOff>172569</xdr:rowOff>
    </xdr:from>
    <xdr:to>
      <xdr:col>3</xdr:col>
      <xdr:colOff>1958920</xdr:colOff>
      <xdr:row>81</xdr:row>
      <xdr:rowOff>21779</xdr:rowOff>
    </xdr:to>
    <xdr:pic macro="[0]!verifiche">
      <xdr:nvPicPr>
        <xdr:cNvPr id="25" name="Immagine 24">
          <a:extLst>
            <a:ext uri="{FF2B5EF4-FFF2-40B4-BE49-F238E27FC236}">
              <a16:creationId xmlns:a16="http://schemas.microsoft.com/office/drawing/2014/main" id="{2B59C37A-F709-4433-B573-C94E92136222}"/>
            </a:ext>
          </a:extLst>
        </xdr:cNvPr>
        <xdr:cNvPicPr>
          <a:picLocks noChangeAspect="1"/>
        </xdr:cNvPicPr>
      </xdr:nvPicPr>
      <xdr:blipFill>
        <a:blip xmlns:r="http://schemas.openxmlformats.org/officeDocument/2006/relationships" r:embed="rId2"/>
        <a:stretch>
          <a:fillRect/>
        </a:stretch>
      </xdr:blipFill>
      <xdr:spPr>
        <a:xfrm>
          <a:off x="2417671" y="14605745"/>
          <a:ext cx="213378" cy="234020"/>
        </a:xfrm>
        <a:prstGeom prst="rect">
          <a:avLst/>
        </a:prstGeom>
      </xdr:spPr>
    </xdr:pic>
    <xdr:clientData/>
  </xdr:twoCellAnchor>
  <xdr:twoCellAnchor editAs="oneCell">
    <xdr:from>
      <xdr:col>10</xdr:col>
      <xdr:colOff>637764</xdr:colOff>
      <xdr:row>1</xdr:row>
      <xdr:rowOff>19050</xdr:rowOff>
    </xdr:from>
    <xdr:to>
      <xdr:col>10</xdr:col>
      <xdr:colOff>1011099</xdr:colOff>
      <xdr:row>2</xdr:row>
      <xdr:rowOff>130527</xdr:rowOff>
    </xdr:to>
    <xdr:pic>
      <xdr:nvPicPr>
        <xdr:cNvPr id="28" name="Immagine 27">
          <a:extLst>
            <a:ext uri="{FF2B5EF4-FFF2-40B4-BE49-F238E27FC236}">
              <a16:creationId xmlns:a16="http://schemas.microsoft.com/office/drawing/2014/main" id="{8955E80F-739E-4CDD-895B-156FB6BBC5BE}"/>
            </a:ext>
          </a:extLst>
        </xdr:cNvPr>
        <xdr:cNvPicPr>
          <a:picLocks noChangeAspect="1"/>
        </xdr:cNvPicPr>
      </xdr:nvPicPr>
      <xdr:blipFill rotWithShape="1">
        <a:blip xmlns:r="http://schemas.openxmlformats.org/officeDocument/2006/relationships" r:embed="rId14"/>
        <a:srcRect l="22007" r="16090"/>
        <a:stretch/>
      </xdr:blipFill>
      <xdr:spPr>
        <a:xfrm>
          <a:off x="13616612" y="184702"/>
          <a:ext cx="360000" cy="273319"/>
        </a:xfrm>
        <a:prstGeom prst="rect">
          <a:avLst/>
        </a:prstGeom>
      </xdr:spPr>
    </xdr:pic>
    <xdr:clientData/>
  </xdr:twoCellAnchor>
  <xdr:twoCellAnchor>
    <xdr:from>
      <xdr:col>11</xdr:col>
      <xdr:colOff>133349</xdr:colOff>
      <xdr:row>1</xdr:row>
      <xdr:rowOff>0</xdr:rowOff>
    </xdr:from>
    <xdr:to>
      <xdr:col>12</xdr:col>
      <xdr:colOff>152399</xdr:colOff>
      <xdr:row>7</xdr:row>
      <xdr:rowOff>38100</xdr:rowOff>
    </xdr:to>
    <xdr:sp macro="[0]!ExportCompleteReportPDF" textlink="">
      <xdr:nvSpPr>
        <xdr:cNvPr id="17" name="CasellaDiTesto 16">
          <a:extLst>
            <a:ext uri="{FF2B5EF4-FFF2-40B4-BE49-F238E27FC236}">
              <a16:creationId xmlns:a16="http://schemas.microsoft.com/office/drawing/2014/main" id="{AF421F83-538C-EE2A-6E39-355DB5B5B7ED}"/>
            </a:ext>
          </a:extLst>
        </xdr:cNvPr>
        <xdr:cNvSpPr txBox="1"/>
      </xdr:nvSpPr>
      <xdr:spPr>
        <a:xfrm>
          <a:off x="14011274" y="161925"/>
          <a:ext cx="1209675" cy="10096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Complete Report</a:t>
          </a:r>
        </a:p>
      </xdr:txBody>
    </xdr:sp>
    <xdr:clientData/>
  </xdr:twoCellAnchor>
  <xdr:twoCellAnchor editAs="oneCell">
    <xdr:from>
      <xdr:col>11</xdr:col>
      <xdr:colOff>466725</xdr:colOff>
      <xdr:row>2</xdr:row>
      <xdr:rowOff>133350</xdr:rowOff>
    </xdr:from>
    <xdr:to>
      <xdr:col>11</xdr:col>
      <xdr:colOff>1007029</xdr:colOff>
      <xdr:row>6</xdr:row>
      <xdr:rowOff>134169</xdr:rowOff>
    </xdr:to>
    <xdr:pic macro="[0]!ExportCompleteReportPDF">
      <xdr:nvPicPr>
        <xdr:cNvPr id="3" name="Immagine 2">
          <a:extLst>
            <a:ext uri="{FF2B5EF4-FFF2-40B4-BE49-F238E27FC236}">
              <a16:creationId xmlns:a16="http://schemas.microsoft.com/office/drawing/2014/main" id="{E504FC57-3C6F-460B-A097-588925537CF2}"/>
            </a:ext>
          </a:extLst>
        </xdr:cNvPr>
        <xdr:cNvPicPr>
          <a:picLocks noChangeAspect="1"/>
        </xdr:cNvPicPr>
      </xdr:nvPicPr>
      <xdr:blipFill>
        <a:blip xmlns:r="http://schemas.openxmlformats.org/officeDocument/2006/relationships" r:embed="rId15"/>
        <a:stretch>
          <a:fillRect/>
        </a:stretch>
      </xdr:blipFill>
      <xdr:spPr>
        <a:xfrm>
          <a:off x="14344650" y="457200"/>
          <a:ext cx="536494" cy="652329"/>
        </a:xfrm>
        <a:prstGeom prst="rect">
          <a:avLst/>
        </a:prstGeom>
      </xdr:spPr>
    </xdr:pic>
    <xdr:clientData/>
  </xdr:twoCellAnchor>
  <xdr:twoCellAnchor>
    <xdr:from>
      <xdr:col>12</xdr:col>
      <xdr:colOff>238125</xdr:colOff>
      <xdr:row>1</xdr:row>
      <xdr:rowOff>0</xdr:rowOff>
    </xdr:from>
    <xdr:to>
      <xdr:col>14</xdr:col>
      <xdr:colOff>76200</xdr:colOff>
      <xdr:row>7</xdr:row>
      <xdr:rowOff>38100</xdr:rowOff>
    </xdr:to>
    <xdr:sp macro="[0]!ExportShortReportPDF" textlink="">
      <xdr:nvSpPr>
        <xdr:cNvPr id="18" name="CasellaDiTesto 17">
          <a:extLst>
            <a:ext uri="{FF2B5EF4-FFF2-40B4-BE49-F238E27FC236}">
              <a16:creationId xmlns:a16="http://schemas.microsoft.com/office/drawing/2014/main" id="{0C54AB23-17CD-4D89-ACE9-27E41CFB0548}"/>
            </a:ext>
          </a:extLst>
        </xdr:cNvPr>
        <xdr:cNvSpPr txBox="1"/>
      </xdr:nvSpPr>
      <xdr:spPr>
        <a:xfrm>
          <a:off x="15306675" y="161925"/>
          <a:ext cx="1209675" cy="10096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Short Report</a:t>
          </a:r>
        </a:p>
      </xdr:txBody>
    </xdr:sp>
    <xdr:clientData/>
  </xdr:twoCellAnchor>
  <xdr:twoCellAnchor editAs="oneCell">
    <xdr:from>
      <xdr:col>12</xdr:col>
      <xdr:colOff>571501</xdr:colOff>
      <xdr:row>2</xdr:row>
      <xdr:rowOff>133350</xdr:rowOff>
    </xdr:from>
    <xdr:to>
      <xdr:col>13</xdr:col>
      <xdr:colOff>422196</xdr:colOff>
      <xdr:row>6</xdr:row>
      <xdr:rowOff>134169</xdr:rowOff>
    </xdr:to>
    <xdr:pic macro="[0]!ExportShortReportPDF">
      <xdr:nvPicPr>
        <xdr:cNvPr id="19" name="Immagine 18">
          <a:extLst>
            <a:ext uri="{FF2B5EF4-FFF2-40B4-BE49-F238E27FC236}">
              <a16:creationId xmlns:a16="http://schemas.microsoft.com/office/drawing/2014/main" id="{A2FADD30-B092-47F4-BCF0-A1BB446FE850}"/>
            </a:ext>
          </a:extLst>
        </xdr:cNvPr>
        <xdr:cNvPicPr>
          <a:picLocks noChangeAspect="1"/>
        </xdr:cNvPicPr>
      </xdr:nvPicPr>
      <xdr:blipFill>
        <a:blip xmlns:r="http://schemas.openxmlformats.org/officeDocument/2006/relationships" r:embed="rId15"/>
        <a:stretch>
          <a:fillRect/>
        </a:stretch>
      </xdr:blipFill>
      <xdr:spPr>
        <a:xfrm>
          <a:off x="15640051" y="457200"/>
          <a:ext cx="536494" cy="652329"/>
        </a:xfrm>
        <a:prstGeom prst="rect">
          <a:avLst/>
        </a:prstGeom>
      </xdr:spPr>
    </xdr:pic>
    <xdr:clientData/>
  </xdr:twoCellAnchor>
  <xdr:twoCellAnchor editAs="oneCell">
    <xdr:from>
      <xdr:col>6</xdr:col>
      <xdr:colOff>2410946</xdr:colOff>
      <xdr:row>56</xdr:row>
      <xdr:rowOff>26335</xdr:rowOff>
    </xdr:from>
    <xdr:to>
      <xdr:col>10</xdr:col>
      <xdr:colOff>2258206</xdr:colOff>
      <xdr:row>76</xdr:row>
      <xdr:rowOff>82976</xdr:rowOff>
    </xdr:to>
    <xdr:pic>
      <xdr:nvPicPr>
        <xdr:cNvPr id="12" name="verif" hidden="1">
          <a:extLst>
            <a:ext uri="{FF2B5EF4-FFF2-40B4-BE49-F238E27FC236}">
              <a16:creationId xmlns:a16="http://schemas.microsoft.com/office/drawing/2014/main" id="{6B8A8EE0-3D78-80B6-9D83-E7A584784C51}"/>
            </a:ext>
          </a:extLst>
        </xdr:cNvPr>
        <xdr:cNvPicPr>
          <a:picLocks noChangeAspect="1"/>
        </xdr:cNvPicPr>
      </xdr:nvPicPr>
      <xdr:blipFill>
        <a:blip xmlns:r="http://schemas.openxmlformats.org/officeDocument/2006/relationships" r:embed="rId16"/>
        <a:stretch>
          <a:fillRect/>
        </a:stretch>
      </xdr:blipFill>
      <xdr:spPr>
        <a:xfrm>
          <a:off x="8021171" y="10494310"/>
          <a:ext cx="7210085" cy="3866641"/>
        </a:xfrm>
        <a:prstGeom prst="rect">
          <a:avLst/>
        </a:prstGeom>
        <a:ln w="28575">
          <a:solidFill>
            <a:schemeClr val="tx1"/>
          </a:solidFill>
        </a:ln>
      </xdr:spPr>
    </xdr:pic>
    <xdr:clientData/>
  </xdr:twoCellAnchor>
  <xdr:twoCellAnchor editAs="oneCell">
    <xdr:from>
      <xdr:col>7</xdr:col>
      <xdr:colOff>502026</xdr:colOff>
      <xdr:row>95</xdr:row>
      <xdr:rowOff>101974</xdr:rowOff>
    </xdr:from>
    <xdr:to>
      <xdr:col>10</xdr:col>
      <xdr:colOff>2253727</xdr:colOff>
      <xdr:row>100</xdr:row>
      <xdr:rowOff>155211</xdr:rowOff>
    </xdr:to>
    <xdr:pic>
      <xdr:nvPicPr>
        <xdr:cNvPr id="26" name="RotStiff" hidden="1">
          <a:extLst>
            <a:ext uri="{FF2B5EF4-FFF2-40B4-BE49-F238E27FC236}">
              <a16:creationId xmlns:a16="http://schemas.microsoft.com/office/drawing/2014/main" id="{CAB59C82-8F8B-8BE2-DD47-2DA9635CFF37}"/>
            </a:ext>
          </a:extLst>
        </xdr:cNvPr>
        <xdr:cNvPicPr>
          <a:picLocks noChangeAspect="1"/>
        </xdr:cNvPicPr>
      </xdr:nvPicPr>
      <xdr:blipFill>
        <a:blip xmlns:r="http://schemas.openxmlformats.org/officeDocument/2006/relationships" r:embed="rId17"/>
        <a:stretch>
          <a:fillRect/>
        </a:stretch>
      </xdr:blipFill>
      <xdr:spPr>
        <a:xfrm>
          <a:off x="9817476" y="17999449"/>
          <a:ext cx="5409301" cy="891437"/>
        </a:xfrm>
        <a:prstGeom prst="rect">
          <a:avLst/>
        </a:prstGeom>
        <a:ln w="28575">
          <a:solidFill>
            <a:schemeClr val="tx1"/>
          </a:solidFill>
        </a:ln>
      </xdr:spPr>
    </xdr:pic>
    <xdr:clientData/>
  </xdr:twoCellAnchor>
  <xdr:twoCellAnchor editAs="oneCell">
    <xdr:from>
      <xdr:col>4</xdr:col>
      <xdr:colOff>42025</xdr:colOff>
      <xdr:row>93</xdr:row>
      <xdr:rowOff>150157</xdr:rowOff>
    </xdr:from>
    <xdr:to>
      <xdr:col>4</xdr:col>
      <xdr:colOff>245878</xdr:colOff>
      <xdr:row>95</xdr:row>
      <xdr:rowOff>3177</xdr:rowOff>
    </xdr:to>
    <xdr:pic macro="[0]!RotationalStiffness">
      <xdr:nvPicPr>
        <xdr:cNvPr id="27" name="Immagine 26">
          <a:extLst>
            <a:ext uri="{FF2B5EF4-FFF2-40B4-BE49-F238E27FC236}">
              <a16:creationId xmlns:a16="http://schemas.microsoft.com/office/drawing/2014/main" id="{5C738CB6-E79B-467D-8323-72EB0AF4EFCE}"/>
            </a:ext>
          </a:extLst>
        </xdr:cNvPr>
        <xdr:cNvPicPr>
          <a:picLocks noChangeAspect="1"/>
        </xdr:cNvPicPr>
      </xdr:nvPicPr>
      <xdr:blipFill>
        <a:blip xmlns:r="http://schemas.openxmlformats.org/officeDocument/2006/relationships" r:embed="rId2"/>
        <a:stretch>
          <a:fillRect/>
        </a:stretch>
      </xdr:blipFill>
      <xdr:spPr>
        <a:xfrm>
          <a:off x="4569201" y="17631333"/>
          <a:ext cx="213378" cy="234020"/>
        </a:xfrm>
        <a:prstGeom prst="rect">
          <a:avLst/>
        </a:prstGeom>
      </xdr:spPr>
    </xdr:pic>
    <xdr:clientData/>
  </xdr:twoCellAnchor>
  <xdr:twoCellAnchor editAs="oneCell">
    <xdr:from>
      <xdr:col>6</xdr:col>
      <xdr:colOff>2409825</xdr:colOff>
      <xdr:row>44</xdr:row>
      <xdr:rowOff>142874</xdr:rowOff>
    </xdr:from>
    <xdr:to>
      <xdr:col>10</xdr:col>
      <xdr:colOff>2254620</xdr:colOff>
      <xdr:row>64</xdr:row>
      <xdr:rowOff>91916</xdr:rowOff>
    </xdr:to>
    <xdr:pic>
      <xdr:nvPicPr>
        <xdr:cNvPr id="30" name="geometryeff" hidden="1">
          <a:extLst>
            <a:ext uri="{FF2B5EF4-FFF2-40B4-BE49-F238E27FC236}">
              <a16:creationId xmlns:a16="http://schemas.microsoft.com/office/drawing/2014/main" id="{51B85FFB-9D82-441F-98A9-DF59DE13C8EF}"/>
            </a:ext>
          </a:extLst>
        </xdr:cNvPr>
        <xdr:cNvPicPr>
          <a:picLocks noChangeAspect="1"/>
        </xdr:cNvPicPr>
      </xdr:nvPicPr>
      <xdr:blipFill rotWithShape="1">
        <a:blip xmlns:r="http://schemas.openxmlformats.org/officeDocument/2006/relationships" r:embed="rId18"/>
        <a:srcRect t="5082"/>
        <a:stretch/>
      </xdr:blipFill>
      <xdr:spPr>
        <a:xfrm>
          <a:off x="8020050" y="8324849"/>
          <a:ext cx="7207620" cy="3759042"/>
        </a:xfrm>
        <a:prstGeom prst="rect">
          <a:avLst/>
        </a:prstGeom>
        <a:ln w="28575">
          <a:solidFill>
            <a:schemeClr val="tx1"/>
          </a:solidFill>
        </a:ln>
      </xdr:spPr>
    </xdr:pic>
    <xdr:clientData/>
  </xdr:twoCellAnchor>
  <xdr:twoCellAnchor>
    <xdr:from>
      <xdr:col>14</xdr:col>
      <xdr:colOff>161925</xdr:colOff>
      <xdr:row>1</xdr:row>
      <xdr:rowOff>0</xdr:rowOff>
    </xdr:from>
    <xdr:to>
      <xdr:col>14</xdr:col>
      <xdr:colOff>1371600</xdr:colOff>
      <xdr:row>7</xdr:row>
      <xdr:rowOff>38100</xdr:rowOff>
    </xdr:to>
    <xdr:sp macro="[0]!Z_Salvataggio.SaveWork1" textlink="">
      <xdr:nvSpPr>
        <xdr:cNvPr id="14" name="CasellaDiTesto 13">
          <a:extLst>
            <a:ext uri="{FF2B5EF4-FFF2-40B4-BE49-F238E27FC236}">
              <a16:creationId xmlns:a16="http://schemas.microsoft.com/office/drawing/2014/main" id="{FAA41AAE-C3CF-4839-9919-552BFDCF412E}"/>
            </a:ext>
          </a:extLst>
        </xdr:cNvPr>
        <xdr:cNvSpPr txBox="1"/>
      </xdr:nvSpPr>
      <xdr:spPr>
        <a:xfrm>
          <a:off x="16602075" y="161925"/>
          <a:ext cx="1209675" cy="10096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Save&amp;Exit</a:t>
          </a:r>
        </a:p>
      </xdr:txBody>
    </xdr:sp>
    <xdr:clientData/>
  </xdr:twoCellAnchor>
  <xdr:twoCellAnchor editAs="oneCell">
    <xdr:from>
      <xdr:col>14</xdr:col>
      <xdr:colOff>409575</xdr:colOff>
      <xdr:row>2</xdr:row>
      <xdr:rowOff>104775</xdr:rowOff>
    </xdr:from>
    <xdr:to>
      <xdr:col>14</xdr:col>
      <xdr:colOff>1125765</xdr:colOff>
      <xdr:row>7</xdr:row>
      <xdr:rowOff>18960</xdr:rowOff>
    </xdr:to>
    <xdr:pic macro="[0]!SaveWork1">
      <xdr:nvPicPr>
        <xdr:cNvPr id="33" name="Immagine 32">
          <a:extLst>
            <a:ext uri="{FF2B5EF4-FFF2-40B4-BE49-F238E27FC236}">
              <a16:creationId xmlns:a16="http://schemas.microsoft.com/office/drawing/2014/main" id="{66EBBB1F-916A-8B7A-7DC4-9985C5B393F7}"/>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6849725" y="428625"/>
          <a:ext cx="720000" cy="720000"/>
        </a:xfrm>
        <a:prstGeom prst="rect">
          <a:avLst/>
        </a:prstGeom>
      </xdr:spPr>
    </xdr:pic>
    <xdr:clientData/>
  </xdr:twoCellAnchor>
  <xdr:twoCellAnchor editAs="oneCell">
    <xdr:from>
      <xdr:col>6</xdr:col>
      <xdr:colOff>619125</xdr:colOff>
      <xdr:row>28</xdr:row>
      <xdr:rowOff>114300</xdr:rowOff>
    </xdr:from>
    <xdr:to>
      <xdr:col>10</xdr:col>
      <xdr:colOff>2256300</xdr:colOff>
      <xdr:row>55</xdr:row>
      <xdr:rowOff>60544</xdr:rowOff>
    </xdr:to>
    <xdr:pic>
      <xdr:nvPicPr>
        <xdr:cNvPr id="31" name="Concept" hidden="1">
          <a:extLst>
            <a:ext uri="{FF2B5EF4-FFF2-40B4-BE49-F238E27FC236}">
              <a16:creationId xmlns:a16="http://schemas.microsoft.com/office/drawing/2014/main" id="{8D63BD2A-4D87-F93D-B317-7DE8890630E9}"/>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4857750" y="4867275"/>
          <a:ext cx="9000000" cy="5089744"/>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c:userShapes xmlns:c="http://schemas.openxmlformats.org/drawingml/2006/chart">
  <cdr:relSizeAnchor xmlns:cdr="http://schemas.openxmlformats.org/drawingml/2006/chartDrawing">
    <cdr:from>
      <cdr:x>0.19955</cdr:x>
      <cdr:y>0.12649</cdr:y>
    </cdr:from>
    <cdr:to>
      <cdr:x>0.37271</cdr:x>
      <cdr:y>0.42133</cdr:y>
    </cdr:to>
    <cdr:sp macro="" textlink="">
      <cdr:nvSpPr>
        <cdr:cNvPr id="2" name="CasellaDiTesto 1">
          <a:extLst xmlns:a="http://schemas.openxmlformats.org/drawingml/2006/main">
            <a:ext uri="{FF2B5EF4-FFF2-40B4-BE49-F238E27FC236}">
              <a16:creationId xmlns:a16="http://schemas.microsoft.com/office/drawing/2014/main" id="{3BF3F642-88C3-2E2F-62B2-4175D1A6AC1B}"/>
            </a:ext>
          </a:extLst>
        </cdr:cNvPr>
        <cdr:cNvSpPr txBox="1"/>
      </cdr:nvSpPr>
      <cdr:spPr>
        <a:xfrm xmlns:a="http://schemas.openxmlformats.org/drawingml/2006/main">
          <a:off x="1053750" y="392288"/>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it-IT" sz="1100"/>
            <a:t>CLT</a:t>
          </a:r>
        </a:p>
      </cdr:txBody>
    </cdr:sp>
  </cdr:relSizeAnchor>
  <cdr:relSizeAnchor xmlns:cdr="http://schemas.openxmlformats.org/drawingml/2006/chartDrawing">
    <cdr:from>
      <cdr:x>0.68963</cdr:x>
      <cdr:y>0.12695</cdr:y>
    </cdr:from>
    <cdr:to>
      <cdr:x>0.86279</cdr:x>
      <cdr:y>0.42179</cdr:y>
    </cdr:to>
    <cdr:sp macro="" textlink="">
      <cdr:nvSpPr>
        <cdr:cNvPr id="3" name="CasellaDiTesto 1">
          <a:extLst xmlns:a="http://schemas.openxmlformats.org/drawingml/2006/main">
            <a:ext uri="{FF2B5EF4-FFF2-40B4-BE49-F238E27FC236}">
              <a16:creationId xmlns:a16="http://schemas.microsoft.com/office/drawing/2014/main" id="{6D4760E0-7965-A602-B6F8-153E0756D85C}"/>
            </a:ext>
          </a:extLst>
        </cdr:cNvPr>
        <cdr:cNvSpPr txBox="1"/>
      </cdr:nvSpPr>
      <cdr:spPr>
        <a:xfrm xmlns:a="http://schemas.openxmlformats.org/drawingml/2006/main">
          <a:off x="3641725" y="393700"/>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100"/>
            <a:t>CLT</a:t>
          </a:r>
        </a:p>
      </cdr:txBody>
    </cdr:sp>
  </cdr:relSizeAnchor>
  <cdr:relSizeAnchor xmlns:cdr="http://schemas.openxmlformats.org/drawingml/2006/chartDrawing">
    <cdr:from>
      <cdr:x>0.46236</cdr:x>
      <cdr:y>0.29848</cdr:y>
    </cdr:from>
    <cdr:to>
      <cdr:x>0.50799</cdr:x>
      <cdr:y>0.6982</cdr:y>
    </cdr:to>
    <cdr:sp macro="" textlink="">
      <cdr:nvSpPr>
        <cdr:cNvPr id="4" name="CasellaDiTesto 1">
          <a:extLst xmlns:a="http://schemas.openxmlformats.org/drawingml/2006/main">
            <a:ext uri="{FF2B5EF4-FFF2-40B4-BE49-F238E27FC236}">
              <a16:creationId xmlns:a16="http://schemas.microsoft.com/office/drawing/2014/main" id="{6D4760E0-7965-A602-B6F8-153E0756D85C}"/>
            </a:ext>
          </a:extLst>
        </cdr:cNvPr>
        <cdr:cNvSpPr txBox="1"/>
      </cdr:nvSpPr>
      <cdr:spPr>
        <a:xfrm xmlns:a="http://schemas.openxmlformats.org/drawingml/2006/main" rot="16200000">
          <a:off x="1942219" y="1425044"/>
          <a:ext cx="1239662" cy="2409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100"/>
            <a:t>CONCRETE</a:t>
          </a:r>
          <a:r>
            <a:rPr lang="it-IT" sz="1100" baseline="0"/>
            <a:t> BEAM</a:t>
          </a:r>
          <a:endParaRPr lang="it-IT" sz="1100"/>
        </a:p>
      </cdr:txBody>
    </cdr:sp>
  </cdr:relSizeAnchor>
</c:userShapes>
</file>

<file path=xl/drawings/drawing7.xml><?xml version="1.0" encoding="utf-8"?>
<xdr:wsDr xmlns:xdr="http://schemas.openxmlformats.org/drawingml/2006/spreadsheetDrawing" xmlns:a="http://schemas.openxmlformats.org/drawingml/2006/main">
  <xdr:twoCellAnchor editAs="oneCell">
    <xdr:from>
      <xdr:col>3</xdr:col>
      <xdr:colOff>0</xdr:colOff>
      <xdr:row>62</xdr:row>
      <xdr:rowOff>0</xdr:rowOff>
    </xdr:from>
    <xdr:to>
      <xdr:col>3</xdr:col>
      <xdr:colOff>1806538</xdr:colOff>
      <xdr:row>67</xdr:row>
      <xdr:rowOff>21687</xdr:rowOff>
    </xdr:to>
    <xdr:pic>
      <xdr:nvPicPr>
        <xdr:cNvPr id="10" name="Immagine 9">
          <a:extLst>
            <a:ext uri="{FF2B5EF4-FFF2-40B4-BE49-F238E27FC236}">
              <a16:creationId xmlns:a16="http://schemas.microsoft.com/office/drawing/2014/main" id="{D4AF31BC-007C-451A-A7E9-90BB442F98AE}"/>
            </a:ext>
          </a:extLst>
        </xdr:cNvPr>
        <xdr:cNvPicPr>
          <a:picLocks noChangeAspect="1"/>
        </xdr:cNvPicPr>
      </xdr:nvPicPr>
      <xdr:blipFill rotWithShape="1">
        <a:blip xmlns:r="http://schemas.openxmlformats.org/officeDocument/2006/relationships" r:embed="rId1"/>
        <a:srcRect l="7792" t="6154" r="5195" b="7679"/>
        <a:stretch/>
      </xdr:blipFill>
      <xdr:spPr>
        <a:xfrm>
          <a:off x="2057400" y="161925"/>
          <a:ext cx="1800823" cy="811814"/>
        </a:xfrm>
        <a:prstGeom prst="rect">
          <a:avLst/>
        </a:prstGeom>
      </xdr:spPr>
    </xdr:pic>
    <xdr:clientData/>
  </xdr:twoCellAnchor>
  <xdr:twoCellAnchor>
    <xdr:from>
      <xdr:col>3</xdr:col>
      <xdr:colOff>0</xdr:colOff>
      <xdr:row>68</xdr:row>
      <xdr:rowOff>0</xdr:rowOff>
    </xdr:from>
    <xdr:to>
      <xdr:col>3</xdr:col>
      <xdr:colOff>1800000</xdr:colOff>
      <xdr:row>70</xdr:row>
      <xdr:rowOff>144150</xdr:rowOff>
    </xdr:to>
    <xdr:sp macro="" textlink="">
      <xdr:nvSpPr>
        <xdr:cNvPr id="2" name="Rettangolo con angoli arrotondati 1">
          <a:hlinkClick xmlns:r="http://schemas.openxmlformats.org/officeDocument/2006/relationships" r:id="rId2"/>
          <a:extLst>
            <a:ext uri="{FF2B5EF4-FFF2-40B4-BE49-F238E27FC236}">
              <a16:creationId xmlns:a16="http://schemas.microsoft.com/office/drawing/2014/main" id="{DEED87DB-5700-41A3-8FE4-D76D41D4AF24}"/>
            </a:ext>
          </a:extLst>
        </xdr:cNvPr>
        <xdr:cNvSpPr/>
      </xdr:nvSpPr>
      <xdr:spPr>
        <a:xfrm>
          <a:off x="2057400" y="127539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3</xdr:col>
      <xdr:colOff>2057400</xdr:colOff>
      <xdr:row>68</xdr:row>
      <xdr:rowOff>0</xdr:rowOff>
    </xdr:from>
    <xdr:to>
      <xdr:col>6</xdr:col>
      <xdr:colOff>304575</xdr:colOff>
      <xdr:row>70</xdr:row>
      <xdr:rowOff>144150</xdr:rowOff>
    </xdr:to>
    <xdr:sp macro="" textlink="">
      <xdr:nvSpPr>
        <xdr:cNvPr id="3" name="Rettangolo con angoli arrotondati 2">
          <a:hlinkClick xmlns:r="http://schemas.openxmlformats.org/officeDocument/2006/relationships" r:id="rId3"/>
          <a:extLst>
            <a:ext uri="{FF2B5EF4-FFF2-40B4-BE49-F238E27FC236}">
              <a16:creationId xmlns:a16="http://schemas.microsoft.com/office/drawing/2014/main" id="{104BE864-9911-44C4-96DB-780128DCC215}"/>
            </a:ext>
          </a:extLst>
        </xdr:cNvPr>
        <xdr:cNvSpPr/>
      </xdr:nvSpPr>
      <xdr:spPr>
        <a:xfrm>
          <a:off x="4114800" y="127539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a:solidFill>
                <a:sysClr val="windowText" lastClr="000000"/>
              </a:solidFill>
              <a:effectLst/>
              <a:latin typeface="+mn-lt"/>
              <a:ea typeface="+mn-ea"/>
              <a:cs typeface="+mn-cs"/>
            </a:rPr>
            <a:t>SCREWS</a:t>
          </a:r>
          <a:r>
            <a:rPr lang="it-IT" sz="1000" b="1" baseline="0">
              <a:solidFill>
                <a:sysClr val="windowText" lastClr="000000"/>
              </a:solidFill>
              <a:effectLst/>
              <a:latin typeface="+mn-lt"/>
              <a:ea typeface="+mn-ea"/>
              <a:cs typeface="+mn-cs"/>
            </a:rPr>
            <a:t> PROPRIETIES</a:t>
          </a:r>
          <a:endParaRPr lang="it-IT" sz="1000">
            <a:solidFill>
              <a:sysClr val="windowText" lastClr="000000"/>
            </a:solidFill>
            <a:effectLst/>
          </a:endParaRPr>
        </a:p>
        <a:p>
          <a:pPr algn="ctr" eaLnBrk="1" fontAlgn="auto" latinLnBrk="0" hangingPunct="1"/>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xdr:txBody>
    </xdr:sp>
    <xdr:clientData/>
  </xdr:twoCellAnchor>
  <xdr:twoCellAnchor>
    <xdr:from>
      <xdr:col>6</xdr:col>
      <xdr:colOff>571500</xdr:colOff>
      <xdr:row>68</xdr:row>
      <xdr:rowOff>0</xdr:rowOff>
    </xdr:from>
    <xdr:to>
      <xdr:col>6</xdr:col>
      <xdr:colOff>2371500</xdr:colOff>
      <xdr:row>70</xdr:row>
      <xdr:rowOff>144150</xdr:rowOff>
    </xdr:to>
    <xdr:sp macro="" textlink="">
      <xdr:nvSpPr>
        <xdr:cNvPr id="4" name="Rettangolo con angoli arrotondati 3">
          <a:hlinkClick xmlns:r="http://schemas.openxmlformats.org/officeDocument/2006/relationships" r:id="rId4"/>
          <a:extLst>
            <a:ext uri="{FF2B5EF4-FFF2-40B4-BE49-F238E27FC236}">
              <a16:creationId xmlns:a16="http://schemas.microsoft.com/office/drawing/2014/main" id="{A89DEC2F-AD0C-42E5-A701-BF3CB9D55AF2}"/>
            </a:ext>
          </a:extLst>
        </xdr:cNvPr>
        <xdr:cNvSpPr/>
      </xdr:nvSpPr>
      <xdr:spPr>
        <a:xfrm>
          <a:off x="6181725" y="127539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latin typeface="+mn-lt"/>
              <a:ea typeface="+mn-ea"/>
              <a:cs typeface="+mn-cs"/>
            </a:rPr>
            <a:t>CONCRETE PROPRIETIES</a:t>
          </a:r>
          <a:endParaRPr lang="it-IT" sz="1000">
            <a:solidFill>
              <a:sysClr val="windowText" lastClr="000000"/>
            </a:solidFill>
            <a:effectLst/>
          </a:endParaRPr>
        </a:p>
        <a:p>
          <a:pPr algn="ctr" eaLnBrk="1" fontAlgn="auto" latinLnBrk="0" hangingPunct="1"/>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xdr:txBody>
    </xdr:sp>
    <xdr:clientData/>
  </xdr:twoCellAnchor>
  <xdr:twoCellAnchor>
    <xdr:from>
      <xdr:col>6</xdr:col>
      <xdr:colOff>2638425</xdr:colOff>
      <xdr:row>68</xdr:row>
      <xdr:rowOff>0</xdr:rowOff>
    </xdr:from>
    <xdr:to>
      <xdr:col>7</xdr:col>
      <xdr:colOff>733200</xdr:colOff>
      <xdr:row>70</xdr:row>
      <xdr:rowOff>144150</xdr:rowOff>
    </xdr:to>
    <xdr:sp macro="" textlink="">
      <xdr:nvSpPr>
        <xdr:cNvPr id="8" name="Rettangolo con angoli arrotondati 7">
          <a:hlinkClick xmlns:r="http://schemas.openxmlformats.org/officeDocument/2006/relationships" r:id="rId5"/>
          <a:extLst>
            <a:ext uri="{FF2B5EF4-FFF2-40B4-BE49-F238E27FC236}">
              <a16:creationId xmlns:a16="http://schemas.microsoft.com/office/drawing/2014/main" id="{322F34D1-6B66-4310-AFCE-C2FD0C03AA50}"/>
            </a:ext>
          </a:extLst>
        </xdr:cNvPr>
        <xdr:cNvSpPr/>
      </xdr:nvSpPr>
      <xdr:spPr>
        <a:xfrm>
          <a:off x="6877050" y="11334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latin typeface="+mn-lt"/>
              <a:ea typeface="+mn-ea"/>
              <a:cs typeface="+mn-cs"/>
            </a:rPr>
            <a:t>CLT EDGE DISTANCE</a:t>
          </a:r>
          <a:endParaRPr lang="it-IT" sz="1000">
            <a:solidFill>
              <a:sysClr val="windowText" lastClr="000000"/>
            </a:solidFill>
            <a:effectLst/>
          </a:endParaRPr>
        </a:p>
        <a:p>
          <a:pPr algn="ctr" eaLnBrk="1" fontAlgn="auto" latinLnBrk="0" hangingPunct="1"/>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xdr:txBody>
    </xdr:sp>
    <xdr:clientData/>
  </xdr:twoCellAnchor>
  <xdr:twoCellAnchor editAs="oneCell">
    <xdr:from>
      <xdr:col>3</xdr:col>
      <xdr:colOff>1109382</xdr:colOff>
      <xdr:row>76</xdr:row>
      <xdr:rowOff>145677</xdr:rowOff>
    </xdr:from>
    <xdr:to>
      <xdr:col>3</xdr:col>
      <xdr:colOff>1317045</xdr:colOff>
      <xdr:row>77</xdr:row>
      <xdr:rowOff>186845</xdr:rowOff>
    </xdr:to>
    <xdr:pic macro="[0]!asseneutro">
      <xdr:nvPicPr>
        <xdr:cNvPr id="5" name="Immagine 4">
          <a:extLst>
            <a:ext uri="{FF2B5EF4-FFF2-40B4-BE49-F238E27FC236}">
              <a16:creationId xmlns:a16="http://schemas.microsoft.com/office/drawing/2014/main" id="{124F3850-7B48-4FD9-9BB1-31A4DC9F9ED6}"/>
            </a:ext>
          </a:extLst>
        </xdr:cNvPr>
        <xdr:cNvPicPr>
          <a:picLocks noChangeAspect="1"/>
        </xdr:cNvPicPr>
      </xdr:nvPicPr>
      <xdr:blipFill>
        <a:blip xmlns:r="http://schemas.openxmlformats.org/officeDocument/2006/relationships" r:embed="rId6"/>
        <a:stretch>
          <a:fillRect/>
        </a:stretch>
      </xdr:blipFill>
      <xdr:spPr>
        <a:xfrm>
          <a:off x="3160058" y="14253883"/>
          <a:ext cx="213378" cy="231668"/>
        </a:xfrm>
        <a:prstGeom prst="rect">
          <a:avLst/>
        </a:prstGeom>
      </xdr:spPr>
    </xdr:pic>
    <xdr:clientData/>
  </xdr:twoCellAnchor>
  <xdr:twoCellAnchor editAs="oneCell">
    <xdr:from>
      <xdr:col>3</xdr:col>
      <xdr:colOff>0</xdr:colOff>
      <xdr:row>133</xdr:row>
      <xdr:rowOff>0</xdr:rowOff>
    </xdr:from>
    <xdr:to>
      <xdr:col>9</xdr:col>
      <xdr:colOff>472669</xdr:colOff>
      <xdr:row>138</xdr:row>
      <xdr:rowOff>60109</xdr:rowOff>
    </xdr:to>
    <xdr:pic>
      <xdr:nvPicPr>
        <xdr:cNvPr id="7" name="Immagine 6">
          <a:extLst>
            <a:ext uri="{FF2B5EF4-FFF2-40B4-BE49-F238E27FC236}">
              <a16:creationId xmlns:a16="http://schemas.microsoft.com/office/drawing/2014/main" id="{9C890DD4-E570-45E3-B451-79E1FD3C6195}"/>
            </a:ext>
          </a:extLst>
        </xdr:cNvPr>
        <xdr:cNvPicPr>
          <a:picLocks noChangeAspect="1"/>
        </xdr:cNvPicPr>
      </xdr:nvPicPr>
      <xdr:blipFill>
        <a:blip xmlns:r="http://schemas.openxmlformats.org/officeDocument/2006/relationships" r:embed="rId7"/>
        <a:stretch>
          <a:fillRect/>
        </a:stretch>
      </xdr:blipFill>
      <xdr:spPr>
        <a:xfrm>
          <a:off x="683559" y="24966706"/>
          <a:ext cx="10104013" cy="1012609"/>
        </a:xfrm>
        <a:prstGeom prst="rect">
          <a:avLst/>
        </a:prstGeom>
      </xdr:spPr>
    </xdr:pic>
    <xdr:clientData/>
  </xdr:twoCellAnchor>
  <xdr:twoCellAnchor>
    <xdr:from>
      <xdr:col>7</xdr:col>
      <xdr:colOff>1009650</xdr:colOff>
      <xdr:row>68</xdr:row>
      <xdr:rowOff>0</xdr:rowOff>
    </xdr:from>
    <xdr:to>
      <xdr:col>9</xdr:col>
      <xdr:colOff>428400</xdr:colOff>
      <xdr:row>70</xdr:row>
      <xdr:rowOff>144150</xdr:rowOff>
    </xdr:to>
    <xdr:sp macro="" textlink="">
      <xdr:nvSpPr>
        <xdr:cNvPr id="13" name="Rettangolo con angoli arrotondati 12">
          <a:hlinkClick xmlns:r="http://schemas.openxmlformats.org/officeDocument/2006/relationships" r:id="rId8"/>
          <a:extLst>
            <a:ext uri="{FF2B5EF4-FFF2-40B4-BE49-F238E27FC236}">
              <a16:creationId xmlns:a16="http://schemas.microsoft.com/office/drawing/2014/main" id="{CE12FF6E-B07E-41A2-8EE0-8B544EA95ED4}"/>
            </a:ext>
          </a:extLst>
        </xdr:cNvPr>
        <xdr:cNvSpPr/>
      </xdr:nvSpPr>
      <xdr:spPr>
        <a:xfrm>
          <a:off x="8953500" y="11334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latin typeface="+mn-lt"/>
              <a:ea typeface="+mn-ea"/>
              <a:cs typeface="+mn-cs"/>
            </a:rPr>
            <a:t>CLT PROPRIETIES</a:t>
          </a:r>
          <a:endParaRPr lang="it-IT" sz="1000">
            <a:solidFill>
              <a:sysClr val="windowText" lastClr="000000"/>
            </a:solidFill>
            <a:effectLst/>
          </a:endParaRPr>
        </a:p>
        <a:p>
          <a:pPr algn="ctr" eaLnBrk="1" fontAlgn="auto" latinLnBrk="0" hangingPunct="1"/>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xdr:txBody>
    </xdr:sp>
    <xdr:clientData/>
  </xdr:twoCellAnchor>
  <xdr:twoCellAnchor editAs="oneCell">
    <xdr:from>
      <xdr:col>6</xdr:col>
      <xdr:colOff>2423195</xdr:colOff>
      <xdr:row>80</xdr:row>
      <xdr:rowOff>129271</xdr:rowOff>
    </xdr:from>
    <xdr:to>
      <xdr:col>10</xdr:col>
      <xdr:colOff>2253839</xdr:colOff>
      <xdr:row>106</xdr:row>
      <xdr:rowOff>86576</xdr:rowOff>
    </xdr:to>
    <xdr:pic>
      <xdr:nvPicPr>
        <xdr:cNvPr id="11" name="leverarm" hidden="1">
          <a:extLst>
            <a:ext uri="{FF2B5EF4-FFF2-40B4-BE49-F238E27FC236}">
              <a16:creationId xmlns:a16="http://schemas.microsoft.com/office/drawing/2014/main" id="{2A540654-0B43-2E1F-BC33-DF68BF14191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033420" y="15054946"/>
          <a:ext cx="7193469" cy="4910305"/>
        </a:xfrm>
        <a:prstGeom prst="rect">
          <a:avLst/>
        </a:prstGeom>
        <a:noFill/>
        <a:ln w="28575">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1114425</xdr:colOff>
      <xdr:row>119</xdr:row>
      <xdr:rowOff>142875</xdr:rowOff>
    </xdr:from>
    <xdr:to>
      <xdr:col>3</xdr:col>
      <xdr:colOff>1312563</xdr:colOff>
      <xdr:row>120</xdr:row>
      <xdr:rowOff>174518</xdr:rowOff>
    </xdr:to>
    <xdr:pic macro="[0]!rigidezza">
      <xdr:nvPicPr>
        <xdr:cNvPr id="14" name="Immagine 13">
          <a:extLst>
            <a:ext uri="{FF2B5EF4-FFF2-40B4-BE49-F238E27FC236}">
              <a16:creationId xmlns:a16="http://schemas.microsoft.com/office/drawing/2014/main" id="{118B0532-99F8-411C-B1C2-BBA3E7D31363}"/>
            </a:ext>
          </a:extLst>
        </xdr:cNvPr>
        <xdr:cNvPicPr>
          <a:picLocks noChangeAspect="1"/>
        </xdr:cNvPicPr>
      </xdr:nvPicPr>
      <xdr:blipFill>
        <a:blip xmlns:r="http://schemas.openxmlformats.org/officeDocument/2006/relationships" r:embed="rId6"/>
        <a:stretch>
          <a:fillRect/>
        </a:stretch>
      </xdr:blipFill>
      <xdr:spPr>
        <a:xfrm>
          <a:off x="1800225" y="10877550"/>
          <a:ext cx="213378" cy="231668"/>
        </a:xfrm>
        <a:prstGeom prst="rect">
          <a:avLst/>
        </a:prstGeom>
      </xdr:spPr>
    </xdr:pic>
    <xdr:clientData/>
  </xdr:twoCellAnchor>
  <xdr:twoCellAnchor editAs="oneCell">
    <xdr:from>
      <xdr:col>6</xdr:col>
      <xdr:colOff>2409825</xdr:colOff>
      <xdr:row>96</xdr:row>
      <xdr:rowOff>19050</xdr:rowOff>
    </xdr:from>
    <xdr:to>
      <xdr:col>10</xdr:col>
      <xdr:colOff>2258430</xdr:colOff>
      <xdr:row>108</xdr:row>
      <xdr:rowOff>85437</xdr:rowOff>
    </xdr:to>
    <xdr:pic>
      <xdr:nvPicPr>
        <xdr:cNvPr id="15" name="rigidity" hidden="1">
          <a:extLst>
            <a:ext uri="{FF2B5EF4-FFF2-40B4-BE49-F238E27FC236}">
              <a16:creationId xmlns:a16="http://schemas.microsoft.com/office/drawing/2014/main" id="{4384D924-92EA-A5CE-03A0-8CA0EED47CB8}"/>
            </a:ext>
          </a:extLst>
        </xdr:cNvPr>
        <xdr:cNvPicPr>
          <a:picLocks noChangeAspect="1"/>
        </xdr:cNvPicPr>
      </xdr:nvPicPr>
      <xdr:blipFill>
        <a:blip xmlns:r="http://schemas.openxmlformats.org/officeDocument/2006/relationships" r:embed="rId10"/>
        <a:stretch>
          <a:fillRect/>
        </a:stretch>
      </xdr:blipFill>
      <xdr:spPr>
        <a:xfrm>
          <a:off x="8020050" y="17992725"/>
          <a:ext cx="7211430" cy="2352387"/>
        </a:xfrm>
        <a:prstGeom prst="rect">
          <a:avLst/>
        </a:prstGeom>
        <a:ln w="28575">
          <a:solidFill>
            <a:sysClr val="windowText" lastClr="000000"/>
          </a:solidFill>
        </a:ln>
      </xdr:spPr>
    </xdr:pic>
    <xdr:clientData/>
  </xdr:twoCellAnchor>
  <xdr:twoCellAnchor editAs="oneCell">
    <xdr:from>
      <xdr:col>9</xdr:col>
      <xdr:colOff>647700</xdr:colOff>
      <xdr:row>63</xdr:row>
      <xdr:rowOff>144074</xdr:rowOff>
    </xdr:from>
    <xdr:to>
      <xdr:col>10</xdr:col>
      <xdr:colOff>2264952</xdr:colOff>
      <xdr:row>64</xdr:row>
      <xdr:rowOff>134675</xdr:rowOff>
    </xdr:to>
    <xdr:pic>
      <xdr:nvPicPr>
        <xdr:cNvPr id="16" name="Immagine 15">
          <a:extLst>
            <a:ext uri="{FF2B5EF4-FFF2-40B4-BE49-F238E27FC236}">
              <a16:creationId xmlns:a16="http://schemas.microsoft.com/office/drawing/2014/main" id="{27D4FA20-0D99-491A-A7AC-6B057C9B9631}"/>
            </a:ext>
          </a:extLst>
        </xdr:cNvPr>
        <xdr:cNvPicPr>
          <a:picLocks noChangeAspect="1"/>
        </xdr:cNvPicPr>
      </xdr:nvPicPr>
      <xdr:blipFill>
        <a:blip xmlns:r="http://schemas.openxmlformats.org/officeDocument/2006/relationships" r:embed="rId11"/>
        <a:stretch>
          <a:fillRect/>
        </a:stretch>
      </xdr:blipFill>
      <xdr:spPr>
        <a:xfrm>
          <a:off x="10972800" y="467924"/>
          <a:ext cx="2884077" cy="152526"/>
        </a:xfrm>
        <a:prstGeom prst="rect">
          <a:avLst/>
        </a:prstGeom>
      </xdr:spPr>
    </xdr:pic>
    <xdr:clientData/>
  </xdr:twoCellAnchor>
  <xdr:twoCellAnchor editAs="oneCell">
    <xdr:from>
      <xdr:col>10</xdr:col>
      <xdr:colOff>636586</xdr:colOff>
      <xdr:row>62</xdr:row>
      <xdr:rowOff>28575</xdr:rowOff>
    </xdr:from>
    <xdr:to>
      <xdr:col>10</xdr:col>
      <xdr:colOff>1006111</xdr:colOff>
      <xdr:row>63</xdr:row>
      <xdr:rowOff>131200</xdr:rowOff>
    </xdr:to>
    <xdr:pic>
      <xdr:nvPicPr>
        <xdr:cNvPr id="17" name="Immagine 16">
          <a:extLst>
            <a:ext uri="{FF2B5EF4-FFF2-40B4-BE49-F238E27FC236}">
              <a16:creationId xmlns:a16="http://schemas.microsoft.com/office/drawing/2014/main" id="{555AA503-8BA0-4665-BFA5-2A06C2442A3B}"/>
            </a:ext>
          </a:extLst>
        </xdr:cNvPr>
        <xdr:cNvPicPr>
          <a:picLocks noChangeAspect="1"/>
        </xdr:cNvPicPr>
      </xdr:nvPicPr>
      <xdr:blipFill rotWithShape="1">
        <a:blip xmlns:r="http://schemas.openxmlformats.org/officeDocument/2006/relationships" r:embed="rId12"/>
        <a:srcRect l="22007" r="16090"/>
        <a:stretch/>
      </xdr:blipFill>
      <xdr:spPr>
        <a:xfrm>
          <a:off x="12238036" y="190500"/>
          <a:ext cx="360000" cy="2645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0</xdr:colOff>
      <xdr:row>3</xdr:row>
      <xdr:rowOff>0</xdr:rowOff>
    </xdr:from>
    <xdr:to>
      <xdr:col>5</xdr:col>
      <xdr:colOff>428400</xdr:colOff>
      <xdr:row>5</xdr:row>
      <xdr:rowOff>87000</xdr:rowOff>
    </xdr:to>
    <xdr:sp macro="" textlink="">
      <xdr:nvSpPr>
        <xdr:cNvPr id="5" name="Rettangolo con angoli arrotondati 4">
          <a:hlinkClick xmlns:r="http://schemas.openxmlformats.org/officeDocument/2006/relationships" r:id="rId1"/>
          <a:extLst>
            <a:ext uri="{FF2B5EF4-FFF2-40B4-BE49-F238E27FC236}">
              <a16:creationId xmlns:a16="http://schemas.microsoft.com/office/drawing/2014/main" id="{173FDEE4-8622-464E-A376-F1B3696617D0}"/>
            </a:ext>
          </a:extLst>
        </xdr:cNvPr>
        <xdr:cNvSpPr/>
      </xdr:nvSpPr>
      <xdr:spPr>
        <a:xfrm>
          <a:off x="37814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6</xdr:col>
      <xdr:colOff>0</xdr:colOff>
      <xdr:row>3</xdr:row>
      <xdr:rowOff>0</xdr:rowOff>
    </xdr:from>
    <xdr:to>
      <xdr:col>8</xdr:col>
      <xdr:colOff>428400</xdr:colOff>
      <xdr:row>5</xdr:row>
      <xdr:rowOff>87000</xdr:rowOff>
    </xdr:to>
    <xdr:sp macro="" textlink="">
      <xdr:nvSpPr>
        <xdr:cNvPr id="6" name="Rettangolo con angoli arrotondati 5">
          <a:hlinkClick xmlns:r="http://schemas.openxmlformats.org/officeDocument/2006/relationships" r:id="rId2"/>
          <a:extLst>
            <a:ext uri="{FF2B5EF4-FFF2-40B4-BE49-F238E27FC236}">
              <a16:creationId xmlns:a16="http://schemas.microsoft.com/office/drawing/2014/main" id="{14CB5815-34EB-40BF-91BC-3EBFEDCD259A}"/>
            </a:ext>
          </a:extLst>
        </xdr:cNvPr>
        <xdr:cNvSpPr/>
      </xdr:nvSpPr>
      <xdr:spPr>
        <a:xfrm>
          <a:off x="58388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10</xdr:col>
      <xdr:colOff>0</xdr:colOff>
      <xdr:row>2</xdr:row>
      <xdr:rowOff>0</xdr:rowOff>
    </xdr:from>
    <xdr:to>
      <xdr:col>12</xdr:col>
      <xdr:colOff>429223</xdr:colOff>
      <xdr:row>6</xdr:row>
      <xdr:rowOff>49814</xdr:rowOff>
    </xdr:to>
    <xdr:pic>
      <xdr:nvPicPr>
        <xdr:cNvPr id="7" name="Immagine 6">
          <a:extLst>
            <a:ext uri="{FF2B5EF4-FFF2-40B4-BE49-F238E27FC236}">
              <a16:creationId xmlns:a16="http://schemas.microsoft.com/office/drawing/2014/main" id="{0D45E5DD-12AD-45ED-AE13-6258C1042521}"/>
            </a:ext>
          </a:extLst>
        </xdr:cNvPr>
        <xdr:cNvPicPr>
          <a:picLocks noChangeAspect="1"/>
        </xdr:cNvPicPr>
      </xdr:nvPicPr>
      <xdr:blipFill rotWithShape="1">
        <a:blip xmlns:r="http://schemas.openxmlformats.org/officeDocument/2006/relationships" r:embed="rId3"/>
        <a:srcRect l="7792" t="6154" r="5195" b="7679"/>
        <a:stretch/>
      </xdr:blipFill>
      <xdr:spPr>
        <a:xfrm>
          <a:off x="8582025" y="381000"/>
          <a:ext cx="1800823" cy="811814"/>
        </a:xfrm>
        <a:prstGeom prst="rect">
          <a:avLst/>
        </a:prstGeom>
      </xdr:spPr>
    </xdr:pic>
    <xdr:clientData/>
  </xdr:twoCellAnchor>
  <xdr:twoCellAnchor editAs="oneCell">
    <xdr:from>
      <xdr:col>1</xdr:col>
      <xdr:colOff>0</xdr:colOff>
      <xdr:row>28</xdr:row>
      <xdr:rowOff>0</xdr:rowOff>
    </xdr:from>
    <xdr:to>
      <xdr:col>13</xdr:col>
      <xdr:colOff>128616</xdr:colOff>
      <xdr:row>33</xdr:row>
      <xdr:rowOff>51945</xdr:rowOff>
    </xdr:to>
    <xdr:pic>
      <xdr:nvPicPr>
        <xdr:cNvPr id="8" name="Immagine 7">
          <a:extLst>
            <a:ext uri="{FF2B5EF4-FFF2-40B4-BE49-F238E27FC236}">
              <a16:creationId xmlns:a16="http://schemas.microsoft.com/office/drawing/2014/main" id="{E7BCE0B0-C084-4227-ACDF-BA771F7BE99F}"/>
            </a:ext>
          </a:extLst>
        </xdr:cNvPr>
        <xdr:cNvPicPr>
          <a:picLocks noChangeAspect="1"/>
        </xdr:cNvPicPr>
      </xdr:nvPicPr>
      <xdr:blipFill>
        <a:blip xmlns:r="http://schemas.openxmlformats.org/officeDocument/2006/relationships" r:embed="rId4"/>
        <a:stretch>
          <a:fillRect/>
        </a:stretch>
      </xdr:blipFill>
      <xdr:spPr>
        <a:xfrm>
          <a:off x="685800" y="5334000"/>
          <a:ext cx="10082241" cy="1004445"/>
        </a:xfrm>
        <a:prstGeom prst="rect">
          <a:avLst/>
        </a:prstGeom>
      </xdr:spPr>
    </xdr:pic>
    <xdr:clientData/>
  </xdr:twoCellAnchor>
  <xdr:twoCellAnchor editAs="oneCell">
    <xdr:from>
      <xdr:col>6</xdr:col>
      <xdr:colOff>104775</xdr:colOff>
      <xdr:row>7</xdr:row>
      <xdr:rowOff>0</xdr:rowOff>
    </xdr:from>
    <xdr:to>
      <xdr:col>15</xdr:col>
      <xdr:colOff>1171575</xdr:colOff>
      <xdr:row>26</xdr:row>
      <xdr:rowOff>9525</xdr:rowOff>
    </xdr:to>
    <xdr:pic>
      <xdr:nvPicPr>
        <xdr:cNvPr id="4" name="Immagine 3">
          <a:extLst>
            <a:ext uri="{FF2B5EF4-FFF2-40B4-BE49-F238E27FC236}">
              <a16:creationId xmlns:a16="http://schemas.microsoft.com/office/drawing/2014/main" id="{83E30387-DA1B-4274-B11B-66C1E746D95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943600" y="1333500"/>
          <a:ext cx="7239000" cy="3629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3</xdr:row>
      <xdr:rowOff>0</xdr:rowOff>
    </xdr:from>
    <xdr:to>
      <xdr:col>6</xdr:col>
      <xdr:colOff>428400</xdr:colOff>
      <xdr:row>5</xdr:row>
      <xdr:rowOff>87000</xdr:rowOff>
    </xdr:to>
    <xdr:sp macro="" textlink="">
      <xdr:nvSpPr>
        <xdr:cNvPr id="2" name="Rettangolo con angoli arrotondati 1">
          <a:hlinkClick xmlns:r="http://schemas.openxmlformats.org/officeDocument/2006/relationships" r:id="rId1"/>
          <a:extLst>
            <a:ext uri="{FF2B5EF4-FFF2-40B4-BE49-F238E27FC236}">
              <a16:creationId xmlns:a16="http://schemas.microsoft.com/office/drawing/2014/main" id="{2D6875A3-BE1E-43D6-BAAE-85813B203EAC}"/>
            </a:ext>
          </a:extLst>
        </xdr:cNvPr>
        <xdr:cNvSpPr/>
      </xdr:nvSpPr>
      <xdr:spPr>
        <a:xfrm>
          <a:off x="30194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7</xdr:col>
      <xdr:colOff>0</xdr:colOff>
      <xdr:row>3</xdr:row>
      <xdr:rowOff>0</xdr:rowOff>
    </xdr:from>
    <xdr:to>
      <xdr:col>9</xdr:col>
      <xdr:colOff>428400</xdr:colOff>
      <xdr:row>5</xdr:row>
      <xdr:rowOff>87000</xdr:rowOff>
    </xdr:to>
    <xdr:sp macro="" textlink="">
      <xdr:nvSpPr>
        <xdr:cNvPr id="4" name="Rettangolo con angoli arrotondati 3">
          <a:hlinkClick xmlns:r="http://schemas.openxmlformats.org/officeDocument/2006/relationships" r:id="rId2"/>
          <a:extLst>
            <a:ext uri="{FF2B5EF4-FFF2-40B4-BE49-F238E27FC236}">
              <a16:creationId xmlns:a16="http://schemas.microsoft.com/office/drawing/2014/main" id="{3EE419AC-E097-4843-B565-CD8CF1FF40B2}"/>
            </a:ext>
          </a:extLst>
        </xdr:cNvPr>
        <xdr:cNvSpPr/>
      </xdr:nvSpPr>
      <xdr:spPr>
        <a:xfrm>
          <a:off x="50768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1</xdr:col>
      <xdr:colOff>0</xdr:colOff>
      <xdr:row>38</xdr:row>
      <xdr:rowOff>0</xdr:rowOff>
    </xdr:from>
    <xdr:to>
      <xdr:col>15</xdr:col>
      <xdr:colOff>204816</xdr:colOff>
      <xdr:row>43</xdr:row>
      <xdr:rowOff>51945</xdr:rowOff>
    </xdr:to>
    <xdr:pic>
      <xdr:nvPicPr>
        <xdr:cNvPr id="6" name="Immagine 5">
          <a:extLst>
            <a:ext uri="{FF2B5EF4-FFF2-40B4-BE49-F238E27FC236}">
              <a16:creationId xmlns:a16="http://schemas.microsoft.com/office/drawing/2014/main" id="{3466865E-3FCC-40D8-924D-D160A0C551F3}"/>
            </a:ext>
          </a:extLst>
        </xdr:cNvPr>
        <xdr:cNvPicPr>
          <a:picLocks noChangeAspect="1"/>
        </xdr:cNvPicPr>
      </xdr:nvPicPr>
      <xdr:blipFill>
        <a:blip xmlns:r="http://schemas.openxmlformats.org/officeDocument/2006/relationships" r:embed="rId3"/>
        <a:stretch>
          <a:fillRect/>
        </a:stretch>
      </xdr:blipFill>
      <xdr:spPr>
        <a:xfrm>
          <a:off x="685800" y="7239000"/>
          <a:ext cx="10082241" cy="1004445"/>
        </a:xfrm>
        <a:prstGeom prst="rect">
          <a:avLst/>
        </a:prstGeom>
      </xdr:spPr>
    </xdr:pic>
    <xdr:clientData/>
  </xdr:twoCellAnchor>
  <xdr:twoCellAnchor editAs="oneCell">
    <xdr:from>
      <xdr:col>11</xdr:col>
      <xdr:colOff>0</xdr:colOff>
      <xdr:row>2</xdr:row>
      <xdr:rowOff>0</xdr:rowOff>
    </xdr:from>
    <xdr:to>
      <xdr:col>13</xdr:col>
      <xdr:colOff>429223</xdr:colOff>
      <xdr:row>6</xdr:row>
      <xdr:rowOff>49814</xdr:rowOff>
    </xdr:to>
    <xdr:pic>
      <xdr:nvPicPr>
        <xdr:cNvPr id="8" name="Immagine 7">
          <a:extLst>
            <a:ext uri="{FF2B5EF4-FFF2-40B4-BE49-F238E27FC236}">
              <a16:creationId xmlns:a16="http://schemas.microsoft.com/office/drawing/2014/main" id="{A5CF6FA0-7C5D-48B6-83C9-B9AE1325F71E}"/>
            </a:ext>
          </a:extLst>
        </xdr:cNvPr>
        <xdr:cNvPicPr>
          <a:picLocks noChangeAspect="1"/>
        </xdr:cNvPicPr>
      </xdr:nvPicPr>
      <xdr:blipFill rotWithShape="1">
        <a:blip xmlns:r="http://schemas.openxmlformats.org/officeDocument/2006/relationships" r:embed="rId4"/>
        <a:srcRect l="7792" t="6154" r="5195" b="7679"/>
        <a:stretch/>
      </xdr:blipFill>
      <xdr:spPr>
        <a:xfrm>
          <a:off x="7820025" y="381000"/>
          <a:ext cx="1800823" cy="811814"/>
        </a:xfrm>
        <a:prstGeom prst="rect">
          <a:avLst/>
        </a:prstGeom>
      </xdr:spPr>
    </xdr:pic>
    <xdr:clientData/>
  </xdr:twoCellAnchor>
</xdr:wsDr>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rothoblaas.com/privacy-policy"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A5DB0-F6AF-494E-BDA5-028707D3A3B8}">
  <sheetPr codeName="Foglio10">
    <pageSetUpPr fitToPage="1"/>
  </sheetPr>
  <dimension ref="A128:T133"/>
  <sheetViews>
    <sheetView showGridLines="0" showRowColHeaders="0" zoomScaleNormal="100" workbookViewId="0">
      <selection activeCell="R13" sqref="R13"/>
    </sheetView>
  </sheetViews>
  <sheetFormatPr defaultRowHeight="12.75"/>
  <cols>
    <col min="20" max="20" width="2.25" customWidth="1"/>
  </cols>
  <sheetData>
    <row r="128" spans="1:1" ht="15">
      <c r="A128" s="185" t="str">
        <f>traduzioni!A180</f>
        <v>NOTES</v>
      </c>
    </row>
    <row r="129" spans="1:20" ht="20.100000000000001" customHeight="1">
      <c r="A129" t="str">
        <f>traduzioni!A181</f>
        <v>Before the construction, all calculation must be verified and approved by the responsible designer.</v>
      </c>
    </row>
    <row r="130" spans="1:20" ht="15" customHeight="1">
      <c r="A130" t="str">
        <f>traduzioni!A182</f>
        <v>Mechanical resistance values and geometry refer to product certification.</v>
      </c>
    </row>
    <row r="131" spans="1:20" ht="15" customHeight="1">
      <c r="A131" t="str">
        <f>traduzioni!A183</f>
        <v>Verification of concrete side anchoring system capacity must be carried out separately following ETA-22/0806 - Annex E1.</v>
      </c>
    </row>
    <row r="132" spans="1:20" ht="30" customHeight="1">
      <c r="A132" s="211" t="str">
        <f>traduzioni!A184</f>
        <v>All calculations must be verified and approved by the responsible designer prior to execution. The designer are responsible to verify, at each use, the conformity of the data to the regulations in force and to the project. The ultimate responsibility for choosing the appropriate product for a specific application lies with the designer.</v>
      </c>
      <c r="B132" s="211"/>
      <c r="C132" s="211"/>
      <c r="D132" s="211"/>
      <c r="E132" s="211"/>
      <c r="F132" s="211"/>
      <c r="G132" s="211"/>
      <c r="H132" s="211"/>
      <c r="I132" s="211"/>
      <c r="J132" s="211"/>
      <c r="K132" s="211"/>
      <c r="L132" s="211"/>
      <c r="M132" s="211"/>
      <c r="N132" s="211"/>
      <c r="O132" s="211"/>
      <c r="P132" s="211"/>
      <c r="Q132" s="211"/>
      <c r="R132" s="211"/>
      <c r="S132" s="211"/>
      <c r="T132" s="211"/>
    </row>
    <row r="133" spans="1:20" ht="80.099999999999994" customHeight="1">
      <c r="A133" s="211" t="str">
        <f>traduzioni!A185</f>
        <v>The results obtained in this sheet are of an indicative nature and should be considered as a technical-commercial service within the Rotho Blaas srl sales activity. The number and thickness of the inserts must be determined by the responsible designer who is required to check the accuracy of the results deriving from the processing of the data entered. Rotho Blaas srl does not guarantee compliance with current legislation and the design of the calculations made through this spreadsheet. In particular, following the amendment of the pertinent provisions such as, for example standards, approvals, etc. the program may become, in part or in whole, invalid. Rotho Blaas srl does not guarantee and will not be responsible for direct or indirect damages or consequences or other, in any way (warranty for defects, warranty for malfunction, product or legal responsibility, etc.). The User declares to use the spreadsheet as a professional with the obligation and responsibility to verify that the spreadsheet meets his specific needs.</v>
      </c>
      <c r="B133" s="211"/>
      <c r="C133" s="211"/>
      <c r="D133" s="211"/>
      <c r="E133" s="211"/>
      <c r="F133" s="211"/>
      <c r="G133" s="211"/>
      <c r="H133" s="211"/>
      <c r="I133" s="211"/>
      <c r="J133" s="211"/>
      <c r="K133" s="211"/>
      <c r="L133" s="211"/>
      <c r="M133" s="211"/>
      <c r="N133" s="211"/>
      <c r="O133" s="211"/>
      <c r="P133" s="211"/>
      <c r="Q133" s="211"/>
      <c r="R133" s="211"/>
      <c r="S133" s="211"/>
      <c r="T133" s="211"/>
    </row>
  </sheetData>
  <sheetProtection algorithmName="SHA-512" hashValue="oCuedR+1IPjl86jbPKoKnni3sAloPuihiod4jOZliJiVfXj1BzCWGcPKqJO0BH/4F47CtPYOMSO97jmvB6OT+A==" saltValue="lRZrpg+8CRGZHCcjSwoTyQ==" spinCount="100000" sheet="1" objects="1" scenarios="1"/>
  <mergeCells count="2">
    <mergeCell ref="A132:T132"/>
    <mergeCell ref="A133:T133"/>
  </mergeCells>
  <pageMargins left="0.7" right="0.7" top="0.75" bottom="0.75" header="0.3" footer="0.3"/>
  <pageSetup paperSize="9" scale="44" fitToHeight="0" orientation="portrait" horizontalDpi="1200" verticalDpi="1200" r:id="rId1"/>
  <headerFooter>
    <oddHeader xml:space="preserve">&amp;RDate: &amp;D - Time: &amp;T&amp;L </oddHeader>
    <oddFooter xml:space="preserve">&amp;RPage &amp;P of &amp;N&amp;L </oddFoot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D3809-BB6A-4AD4-A09B-5EE0012D2854}">
  <sheetPr codeName="Foglio7"/>
  <dimension ref="A1:I226"/>
  <sheetViews>
    <sheetView zoomScaleNormal="100" workbookViewId="0"/>
  </sheetViews>
  <sheetFormatPr defaultRowHeight="12.75"/>
  <cols>
    <col min="1" max="1" width="15.625" bestFit="1" customWidth="1"/>
    <col min="6" max="9" width="22" style="156" customWidth="1"/>
  </cols>
  <sheetData>
    <row r="1" spans="1:9">
      <c r="A1" t="s">
        <v>389</v>
      </c>
      <c r="B1" s="168" t="str">
        <f>GEOMETRY!K8</f>
        <v>EN</v>
      </c>
      <c r="D1" s="167" t="s">
        <v>358</v>
      </c>
      <c r="E1" s="167" t="s">
        <v>388</v>
      </c>
      <c r="F1" s="194" t="s">
        <v>671</v>
      </c>
      <c r="G1" s="194" t="s">
        <v>672</v>
      </c>
      <c r="H1" s="194" t="s">
        <v>673</v>
      </c>
      <c r="I1" s="194" t="s">
        <v>674</v>
      </c>
    </row>
    <row r="3" spans="1:9">
      <c r="A3" t="str">
        <f>IF($B$1=$D$1,D3,IF($B$1=$E$1,E3,IF($B$1=$F$1,F3,IF($B$1=$G$1,G3,IF($B$1=$H$1,H3,IF($B$1=$I$1,I3,"ERROR"))))))</f>
        <v>Language</v>
      </c>
      <c r="D3" t="s">
        <v>363</v>
      </c>
      <c r="E3" t="s">
        <v>484</v>
      </c>
      <c r="F3" s="156" t="s">
        <v>688</v>
      </c>
      <c r="G3" s="156" t="s">
        <v>689</v>
      </c>
      <c r="H3" s="156" t="s">
        <v>690</v>
      </c>
      <c r="I3" s="156" t="s">
        <v>689</v>
      </c>
    </row>
    <row r="4" spans="1:9">
      <c r="A4" t="str">
        <f t="shared" ref="A4:A67" si="0">IF($B$1=$D$1,D4,IF($B$1=$E$1,E4,IF($B$1=$F$1,F4,IF($B$1=$G$1,G4,IF($B$1=$H$1,H4,IF($B$1=$I$1,I4,"ERROR"))))))</f>
        <v>TC-FUSION CALCULATION</v>
      </c>
      <c r="D4" t="s">
        <v>431</v>
      </c>
      <c r="E4" t="s">
        <v>485</v>
      </c>
      <c r="F4" s="156" t="s">
        <v>691</v>
      </c>
      <c r="G4" s="156" t="s">
        <v>692</v>
      </c>
      <c r="H4" s="156" t="s">
        <v>693</v>
      </c>
      <c r="I4" s="156" t="s">
        <v>694</v>
      </c>
    </row>
    <row r="5" spans="1:9">
      <c r="A5" t="str">
        <f t="shared" si="0"/>
        <v>General informations</v>
      </c>
      <c r="D5" s="6" t="s">
        <v>362</v>
      </c>
      <c r="E5" s="6" t="s">
        <v>486</v>
      </c>
      <c r="F5" s="195" t="s">
        <v>695</v>
      </c>
      <c r="G5" s="195" t="s">
        <v>696</v>
      </c>
      <c r="H5" s="195" t="s">
        <v>697</v>
      </c>
      <c r="I5" s="195" t="s">
        <v>698</v>
      </c>
    </row>
    <row r="6" spans="1:9">
      <c r="A6" t="str">
        <f t="shared" si="0"/>
        <v>Date</v>
      </c>
      <c r="D6" t="s">
        <v>359</v>
      </c>
      <c r="E6" t="s">
        <v>487</v>
      </c>
      <c r="F6" s="156" t="s">
        <v>699</v>
      </c>
      <c r="G6" s="156" t="s">
        <v>700</v>
      </c>
      <c r="H6" s="156" t="s">
        <v>487</v>
      </c>
      <c r="I6" s="156" t="s">
        <v>359</v>
      </c>
    </row>
    <row r="7" spans="1:9">
      <c r="A7" t="str">
        <f t="shared" si="0"/>
        <v>Project</v>
      </c>
      <c r="D7" t="s">
        <v>205</v>
      </c>
      <c r="E7" t="s">
        <v>488</v>
      </c>
      <c r="F7" s="156" t="s">
        <v>701</v>
      </c>
      <c r="G7" s="156" t="s">
        <v>702</v>
      </c>
      <c r="H7" s="156" t="s">
        <v>703</v>
      </c>
      <c r="I7" s="156" t="s">
        <v>704</v>
      </c>
    </row>
    <row r="8" spans="1:9">
      <c r="A8" t="str">
        <f t="shared" si="0"/>
        <v>Designer</v>
      </c>
      <c r="D8" t="s">
        <v>360</v>
      </c>
      <c r="E8" t="s">
        <v>489</v>
      </c>
      <c r="F8" s="156" t="s">
        <v>705</v>
      </c>
      <c r="G8" s="156" t="s">
        <v>706</v>
      </c>
      <c r="H8" s="156" t="s">
        <v>707</v>
      </c>
      <c r="I8" s="156" t="s">
        <v>708</v>
      </c>
    </row>
    <row r="9" spans="1:9">
      <c r="A9" t="str">
        <f t="shared" si="0"/>
        <v>Connection no.</v>
      </c>
      <c r="D9" t="s">
        <v>361</v>
      </c>
      <c r="E9" t="s">
        <v>490</v>
      </c>
      <c r="F9" s="156" t="s">
        <v>709</v>
      </c>
      <c r="G9" s="156" t="s">
        <v>710</v>
      </c>
      <c r="H9" s="156" t="s">
        <v>711</v>
      </c>
      <c r="I9" s="156" t="s">
        <v>712</v>
      </c>
    </row>
    <row r="10" spans="1:9">
      <c r="A10" t="str">
        <f t="shared" si="0"/>
        <v>Standard</v>
      </c>
      <c r="D10" s="6" t="s">
        <v>432</v>
      </c>
      <c r="E10" s="6" t="s">
        <v>491</v>
      </c>
      <c r="F10" s="195" t="s">
        <v>713</v>
      </c>
      <c r="G10" s="195" t="s">
        <v>432</v>
      </c>
      <c r="H10" s="195" t="s">
        <v>714</v>
      </c>
      <c r="I10" s="195" t="s">
        <v>432</v>
      </c>
    </row>
    <row r="11" spans="1:9" ht="38.25">
      <c r="A11" t="str">
        <f t="shared" si="0"/>
        <v>Axial effective number (not required)</v>
      </c>
      <c r="D11" t="s">
        <v>315</v>
      </c>
      <c r="E11" t="s">
        <v>492</v>
      </c>
      <c r="F11" s="156" t="s">
        <v>1355</v>
      </c>
      <c r="G11" s="156" t="s">
        <v>715</v>
      </c>
      <c r="H11" s="156" t="s">
        <v>716</v>
      </c>
      <c r="I11" s="156" t="s">
        <v>717</v>
      </c>
    </row>
    <row r="12" spans="1:9" ht="38.25">
      <c r="A12" t="str">
        <f t="shared" si="0"/>
        <v>Effective shear number (not necessary)</v>
      </c>
      <c r="D12" t="s">
        <v>316</v>
      </c>
      <c r="E12" t="s">
        <v>493</v>
      </c>
      <c r="F12" s="156" t="s">
        <v>1356</v>
      </c>
      <c r="G12" s="156" t="s">
        <v>718</v>
      </c>
      <c r="H12" s="156" t="s">
        <v>719</v>
      </c>
      <c r="I12" s="156" t="s">
        <v>720</v>
      </c>
    </row>
    <row r="13" spans="1:9">
      <c r="A13" t="str">
        <f t="shared" si="0"/>
        <v>Loads</v>
      </c>
      <c r="D13" s="6" t="s">
        <v>420</v>
      </c>
      <c r="E13" s="6" t="s">
        <v>494</v>
      </c>
      <c r="F13" s="195" t="s">
        <v>721</v>
      </c>
      <c r="G13" s="195" t="s">
        <v>722</v>
      </c>
      <c r="H13" s="195" t="s">
        <v>723</v>
      </c>
      <c r="I13" s="195" t="s">
        <v>724</v>
      </c>
    </row>
    <row r="14" spans="1:9">
      <c r="A14" t="str">
        <f t="shared" si="0"/>
        <v>Load duration</v>
      </c>
      <c r="C14" s="166"/>
      <c r="D14" s="166" t="s">
        <v>433</v>
      </c>
      <c r="E14" s="166" t="s">
        <v>495</v>
      </c>
      <c r="F14" s="196" t="s">
        <v>725</v>
      </c>
      <c r="G14" s="196" t="s">
        <v>726</v>
      </c>
      <c r="H14" s="196" t="s">
        <v>727</v>
      </c>
      <c r="I14" s="196" t="s">
        <v>728</v>
      </c>
    </row>
    <row r="15" spans="1:9" ht="26.25" thickBot="1">
      <c r="A15" t="str">
        <f t="shared" si="0"/>
        <v>Joint length</v>
      </c>
      <c r="C15" s="166"/>
      <c r="D15" s="166" t="s">
        <v>153</v>
      </c>
      <c r="E15" s="166" t="s">
        <v>496</v>
      </c>
      <c r="F15" s="196" t="s">
        <v>729</v>
      </c>
      <c r="G15" s="196" t="s">
        <v>730</v>
      </c>
      <c r="H15" s="196" t="s">
        <v>731</v>
      </c>
      <c r="I15" s="196" t="s">
        <v>732</v>
      </c>
    </row>
    <row r="16" spans="1:9" ht="25.5">
      <c r="A16" t="str">
        <f t="shared" si="0"/>
        <v>Axial force parallel to the connection</v>
      </c>
      <c r="C16" s="166"/>
      <c r="D16" s="208" t="s">
        <v>1399</v>
      </c>
      <c r="E16" s="202" t="s">
        <v>1411</v>
      </c>
      <c r="F16" s="203" t="s">
        <v>1434</v>
      </c>
      <c r="G16" s="203" t="s">
        <v>1410</v>
      </c>
      <c r="H16" s="203" t="s">
        <v>1409</v>
      </c>
      <c r="I16" s="204" t="s">
        <v>1408</v>
      </c>
    </row>
    <row r="17" spans="1:9" ht="25.5">
      <c r="A17" t="str">
        <f t="shared" si="0"/>
        <v>Shear perpendicular to the connection, x-direction</v>
      </c>
      <c r="C17" s="166"/>
      <c r="D17" s="209" t="s">
        <v>1398</v>
      </c>
      <c r="E17" s="166" t="s">
        <v>1412</v>
      </c>
      <c r="F17" s="196" t="s">
        <v>1436</v>
      </c>
      <c r="G17" s="196" t="s">
        <v>1413</v>
      </c>
      <c r="H17" s="196" t="s">
        <v>1414</v>
      </c>
      <c r="I17" s="205" t="s">
        <v>1415</v>
      </c>
    </row>
    <row r="18" spans="1:9" ht="25.5">
      <c r="A18" t="str">
        <f t="shared" si="0"/>
        <v>Shear perpendicular to the connection, z-direction</v>
      </c>
      <c r="C18" s="166"/>
      <c r="D18" s="209" t="s">
        <v>1427</v>
      </c>
      <c r="E18" s="166" t="s">
        <v>1428</v>
      </c>
      <c r="F18" s="196" t="s">
        <v>1437</v>
      </c>
      <c r="G18" s="196" t="s">
        <v>1429</v>
      </c>
      <c r="H18" s="196" t="s">
        <v>1430</v>
      </c>
      <c r="I18" s="205" t="s">
        <v>1431</v>
      </c>
    </row>
    <row r="19" spans="1:9" ht="25.5">
      <c r="A19" t="str">
        <f t="shared" si="0"/>
        <v>Bending moment parallel to the connection</v>
      </c>
      <c r="C19" s="166"/>
      <c r="D19" s="209" t="s">
        <v>1400</v>
      </c>
      <c r="E19" s="166" t="s">
        <v>1420</v>
      </c>
      <c r="F19" s="196" t="s">
        <v>1419</v>
      </c>
      <c r="G19" s="196" t="s">
        <v>1418</v>
      </c>
      <c r="H19" s="196" t="s">
        <v>1417</v>
      </c>
      <c r="I19" s="205" t="s">
        <v>1416</v>
      </c>
    </row>
    <row r="20" spans="1:9" ht="25.5">
      <c r="A20" t="str">
        <f t="shared" si="0"/>
        <v>Lower tense fibers</v>
      </c>
      <c r="C20" s="166"/>
      <c r="D20" s="209" t="s">
        <v>434</v>
      </c>
      <c r="E20" s="166" t="s">
        <v>497</v>
      </c>
      <c r="F20" s="196" t="s">
        <v>1357</v>
      </c>
      <c r="G20" s="196" t="s">
        <v>733</v>
      </c>
      <c r="H20" s="196" t="s">
        <v>734</v>
      </c>
      <c r="I20" s="205" t="s">
        <v>735</v>
      </c>
    </row>
    <row r="21" spans="1:9" ht="13.5" thickBot="1">
      <c r="A21" t="str">
        <f t="shared" si="0"/>
        <v>Moment perpendicular to the connection, plane-xz</v>
      </c>
      <c r="C21" s="166"/>
      <c r="D21" s="210" t="s">
        <v>1407</v>
      </c>
      <c r="E21" s="206" t="s">
        <v>1421</v>
      </c>
      <c r="F21" s="206" t="s">
        <v>1435</v>
      </c>
      <c r="G21" s="206" t="s">
        <v>1422</v>
      </c>
      <c r="H21" s="206" t="s">
        <v>1423</v>
      </c>
      <c r="I21" s="207" t="s">
        <v>1424</v>
      </c>
    </row>
    <row r="22" spans="1:9">
      <c r="A22" t="str">
        <f t="shared" si="0"/>
        <v>+ traction</v>
      </c>
      <c r="D22" s="151" t="s">
        <v>435</v>
      </c>
      <c r="E22" s="151" t="s">
        <v>498</v>
      </c>
      <c r="F22" s="197" t="s">
        <v>736</v>
      </c>
      <c r="G22" s="197" t="s">
        <v>737</v>
      </c>
      <c r="H22" s="197" t="s">
        <v>498</v>
      </c>
      <c r="I22" s="197" t="s">
        <v>738</v>
      </c>
    </row>
    <row r="23" spans="1:9">
      <c r="A23" t="str">
        <f t="shared" si="0"/>
        <v>- compression</v>
      </c>
      <c r="D23" s="151" t="s">
        <v>436</v>
      </c>
      <c r="E23" s="151" t="s">
        <v>499</v>
      </c>
      <c r="F23" s="197" t="s">
        <v>739</v>
      </c>
      <c r="G23" s="197" t="s">
        <v>740</v>
      </c>
      <c r="H23" s="197" t="s">
        <v>499</v>
      </c>
      <c r="I23" s="197" t="s">
        <v>741</v>
      </c>
    </row>
    <row r="24" spans="1:9" ht="25.5">
      <c r="A24" t="str">
        <f t="shared" si="0"/>
        <v>+ lower tense fibers</v>
      </c>
      <c r="D24" s="151" t="s">
        <v>437</v>
      </c>
      <c r="E24" s="151" t="s">
        <v>500</v>
      </c>
      <c r="F24" s="197" t="s">
        <v>1358</v>
      </c>
      <c r="G24" s="197" t="s">
        <v>742</v>
      </c>
      <c r="H24" s="197" t="s">
        <v>743</v>
      </c>
      <c r="I24" s="197" t="s">
        <v>744</v>
      </c>
    </row>
    <row r="25" spans="1:9" ht="25.5">
      <c r="A25" t="str">
        <f t="shared" si="0"/>
        <v>- upper tense fibers</v>
      </c>
      <c r="D25" s="151" t="s">
        <v>438</v>
      </c>
      <c r="E25" s="151" t="s">
        <v>501</v>
      </c>
      <c r="F25" s="197" t="s">
        <v>1359</v>
      </c>
      <c r="G25" s="197" t="s">
        <v>745</v>
      </c>
      <c r="H25" s="197" t="s">
        <v>746</v>
      </c>
      <c r="I25" s="197" t="s">
        <v>747</v>
      </c>
    </row>
    <row r="26" spans="1:9">
      <c r="A26" t="str">
        <f t="shared" si="0"/>
        <v>Permanent</v>
      </c>
      <c r="D26" t="s">
        <v>439</v>
      </c>
      <c r="E26" t="s">
        <v>502</v>
      </c>
      <c r="F26" s="156" t="s">
        <v>748</v>
      </c>
      <c r="G26" s="156" t="s">
        <v>439</v>
      </c>
      <c r="H26" s="156" t="s">
        <v>439</v>
      </c>
      <c r="I26" s="156" t="s">
        <v>439</v>
      </c>
    </row>
    <row r="27" spans="1:9">
      <c r="A27" t="str">
        <f t="shared" si="0"/>
        <v>Long-term</v>
      </c>
      <c r="D27" t="s">
        <v>79</v>
      </c>
      <c r="E27" t="s">
        <v>680</v>
      </c>
      <c r="F27" s="156" t="s">
        <v>749</v>
      </c>
      <c r="G27" s="156" t="s">
        <v>750</v>
      </c>
      <c r="H27" s="156" t="s">
        <v>751</v>
      </c>
      <c r="I27" s="156" t="s">
        <v>752</v>
      </c>
    </row>
    <row r="28" spans="1:9">
      <c r="A28" t="str">
        <f t="shared" si="0"/>
        <v>Medium-term</v>
      </c>
      <c r="D28" t="s">
        <v>80</v>
      </c>
      <c r="E28" t="s">
        <v>681</v>
      </c>
      <c r="F28" s="156" t="s">
        <v>753</v>
      </c>
      <c r="G28" s="156" t="s">
        <v>80</v>
      </c>
      <c r="H28" s="156" t="s">
        <v>754</v>
      </c>
      <c r="I28" s="156" t="s">
        <v>755</v>
      </c>
    </row>
    <row r="29" spans="1:9">
      <c r="A29" t="str">
        <f t="shared" si="0"/>
        <v>Short-term</v>
      </c>
      <c r="D29" t="s">
        <v>76</v>
      </c>
      <c r="E29" t="s">
        <v>682</v>
      </c>
      <c r="F29" s="156" t="s">
        <v>756</v>
      </c>
      <c r="G29" s="156" t="s">
        <v>757</v>
      </c>
      <c r="H29" s="156" t="s">
        <v>758</v>
      </c>
      <c r="I29" s="156" t="s">
        <v>759</v>
      </c>
    </row>
    <row r="30" spans="1:9">
      <c r="A30" t="str">
        <f t="shared" si="0"/>
        <v>Istantaneous</v>
      </c>
      <c r="D30" t="s">
        <v>81</v>
      </c>
      <c r="E30" t="s">
        <v>683</v>
      </c>
      <c r="F30" s="156" t="s">
        <v>760</v>
      </c>
      <c r="G30" s="156" t="s">
        <v>761</v>
      </c>
      <c r="H30" s="156" t="s">
        <v>762</v>
      </c>
      <c r="I30" s="156" t="s">
        <v>763</v>
      </c>
    </row>
    <row r="31" spans="1:9">
      <c r="A31" t="str">
        <f t="shared" si="0"/>
        <v>Short/Instantaneous</v>
      </c>
      <c r="D31" t="s">
        <v>440</v>
      </c>
      <c r="E31" t="s">
        <v>684</v>
      </c>
      <c r="F31" s="156" t="s">
        <v>764</v>
      </c>
      <c r="G31" s="156" t="s">
        <v>765</v>
      </c>
      <c r="H31" s="156" t="s">
        <v>766</v>
      </c>
      <c r="I31" s="156" t="s">
        <v>767</v>
      </c>
    </row>
    <row r="32" spans="1:9">
      <c r="A32" t="str">
        <f t="shared" si="0"/>
        <v>Panel composition</v>
      </c>
      <c r="D32" s="6" t="s">
        <v>0</v>
      </c>
      <c r="E32" s="6" t="s">
        <v>503</v>
      </c>
      <c r="F32" s="195" t="s">
        <v>768</v>
      </c>
      <c r="G32" s="195" t="s">
        <v>769</v>
      </c>
      <c r="H32" s="195" t="s">
        <v>770</v>
      </c>
      <c r="I32" s="195" t="s">
        <v>771</v>
      </c>
    </row>
    <row r="33" spans="1:9">
      <c r="A33" t="str">
        <f t="shared" si="0"/>
        <v>Class</v>
      </c>
      <c r="D33" t="s">
        <v>82</v>
      </c>
      <c r="E33" t="s">
        <v>504</v>
      </c>
      <c r="F33" s="156" t="s">
        <v>772</v>
      </c>
      <c r="G33" s="156" t="s">
        <v>773</v>
      </c>
      <c r="H33" s="156" t="s">
        <v>82</v>
      </c>
      <c r="I33" s="156" t="s">
        <v>82</v>
      </c>
    </row>
    <row r="34" spans="1:9">
      <c r="A34" t="str">
        <f t="shared" si="0"/>
        <v>No. Layers</v>
      </c>
      <c r="D34" t="s">
        <v>17</v>
      </c>
      <c r="E34" t="s">
        <v>505</v>
      </c>
      <c r="F34" s="156" t="s">
        <v>774</v>
      </c>
      <c r="G34" s="156" t="s">
        <v>775</v>
      </c>
      <c r="H34" s="156" t="s">
        <v>776</v>
      </c>
      <c r="I34" s="156" t="s">
        <v>777</v>
      </c>
    </row>
    <row r="35" spans="1:9">
      <c r="A35" t="str">
        <f t="shared" si="0"/>
        <v>Type</v>
      </c>
      <c r="D35" t="s">
        <v>16</v>
      </c>
      <c r="E35" t="s">
        <v>506</v>
      </c>
      <c r="F35" s="156" t="s">
        <v>778</v>
      </c>
      <c r="G35" s="156" t="s">
        <v>16</v>
      </c>
      <c r="H35" s="156" t="s">
        <v>506</v>
      </c>
      <c r="I35" s="156" t="s">
        <v>16</v>
      </c>
    </row>
    <row r="36" spans="1:9">
      <c r="A36" t="str">
        <f t="shared" si="0"/>
        <v>Thickness</v>
      </c>
      <c r="D36" t="s">
        <v>57</v>
      </c>
      <c r="E36" t="s">
        <v>507</v>
      </c>
      <c r="F36" s="156" t="s">
        <v>779</v>
      </c>
      <c r="G36" s="156" t="s">
        <v>780</v>
      </c>
      <c r="H36" s="156" t="s">
        <v>781</v>
      </c>
      <c r="I36" s="156" t="s">
        <v>782</v>
      </c>
    </row>
    <row r="37" spans="1:9">
      <c r="A37" t="str">
        <f t="shared" si="0"/>
        <v>Orientation</v>
      </c>
      <c r="D37" t="s">
        <v>104</v>
      </c>
      <c r="E37" t="s">
        <v>508</v>
      </c>
      <c r="F37" s="156" t="s">
        <v>783</v>
      </c>
      <c r="G37" s="156" t="s">
        <v>784</v>
      </c>
      <c r="H37" s="156" t="s">
        <v>785</v>
      </c>
      <c r="I37" s="156" t="s">
        <v>786</v>
      </c>
    </row>
    <row r="38" spans="1:9" ht="51">
      <c r="A38" t="str">
        <f t="shared" si="0"/>
        <v>L-Outer layers fibers perpendicular to the joint line</v>
      </c>
      <c r="D38" s="166" t="s">
        <v>441</v>
      </c>
      <c r="E38" s="166" t="s">
        <v>509</v>
      </c>
      <c r="F38" s="196" t="s">
        <v>787</v>
      </c>
      <c r="G38" s="196" t="s">
        <v>788</v>
      </c>
      <c r="H38" s="196" t="s">
        <v>789</v>
      </c>
      <c r="I38" s="196" t="s">
        <v>790</v>
      </c>
    </row>
    <row r="39" spans="1:9" ht="38.25">
      <c r="A39" t="str">
        <f t="shared" si="0"/>
        <v>T-Outer layers fibers parallel to the joint line</v>
      </c>
      <c r="D39" s="166" t="s">
        <v>665</v>
      </c>
      <c r="E39" s="166" t="s">
        <v>666</v>
      </c>
      <c r="F39" s="196" t="s">
        <v>791</v>
      </c>
      <c r="G39" s="196" t="s">
        <v>792</v>
      </c>
      <c r="H39" s="196" t="s">
        <v>793</v>
      </c>
      <c r="I39" s="196" t="s">
        <v>794</v>
      </c>
    </row>
    <row r="40" spans="1:9">
      <c r="A40" t="str">
        <f t="shared" si="0"/>
        <v>Screws</v>
      </c>
      <c r="D40" s="6" t="s">
        <v>115</v>
      </c>
      <c r="E40" s="6" t="s">
        <v>510</v>
      </c>
      <c r="F40" s="195" t="s">
        <v>795</v>
      </c>
      <c r="G40" s="195" t="s">
        <v>796</v>
      </c>
      <c r="H40" s="195" t="s">
        <v>797</v>
      </c>
      <c r="I40" s="195" t="s">
        <v>798</v>
      </c>
    </row>
    <row r="41" spans="1:9">
      <c r="A41" t="str">
        <f t="shared" si="0"/>
        <v>Screw type</v>
      </c>
      <c r="D41" t="s">
        <v>50</v>
      </c>
      <c r="E41" t="s">
        <v>511</v>
      </c>
      <c r="F41" s="156" t="s">
        <v>1360</v>
      </c>
      <c r="G41" s="156" t="s">
        <v>799</v>
      </c>
      <c r="H41" s="156" t="s">
        <v>800</v>
      </c>
      <c r="I41" s="156" t="s">
        <v>801</v>
      </c>
    </row>
    <row r="42" spans="1:9">
      <c r="A42" t="str">
        <f t="shared" si="0"/>
        <v>Diameter</v>
      </c>
      <c r="D42" t="s">
        <v>364</v>
      </c>
      <c r="E42" t="s">
        <v>512</v>
      </c>
      <c r="F42" s="156" t="s">
        <v>802</v>
      </c>
      <c r="G42" s="156" t="s">
        <v>803</v>
      </c>
      <c r="H42" s="156" t="s">
        <v>804</v>
      </c>
      <c r="I42" s="156" t="s">
        <v>805</v>
      </c>
    </row>
    <row r="43" spans="1:9">
      <c r="A43" t="str">
        <f t="shared" si="0"/>
        <v>Length</v>
      </c>
      <c r="D43" t="s">
        <v>365</v>
      </c>
      <c r="E43" t="s">
        <v>513</v>
      </c>
      <c r="F43" s="156" t="s">
        <v>806</v>
      </c>
      <c r="G43" s="156" t="s">
        <v>807</v>
      </c>
      <c r="H43" s="156" t="s">
        <v>808</v>
      </c>
      <c r="I43" s="156" t="s">
        <v>809</v>
      </c>
    </row>
    <row r="44" spans="1:9">
      <c r="A44" t="str">
        <f t="shared" si="0"/>
        <v>Upper spacing</v>
      </c>
      <c r="D44" t="s">
        <v>398</v>
      </c>
      <c r="E44" t="s">
        <v>514</v>
      </c>
      <c r="F44" s="156" t="s">
        <v>810</v>
      </c>
      <c r="G44" s="156" t="s">
        <v>811</v>
      </c>
      <c r="H44" s="156" t="s">
        <v>812</v>
      </c>
      <c r="I44" s="156" t="s">
        <v>813</v>
      </c>
    </row>
    <row r="45" spans="1:9">
      <c r="A45" t="str">
        <f t="shared" si="0"/>
        <v>Bottom spacing</v>
      </c>
      <c r="D45" t="s">
        <v>399</v>
      </c>
      <c r="E45" t="s">
        <v>515</v>
      </c>
      <c r="F45" s="156" t="s">
        <v>814</v>
      </c>
      <c r="G45" s="156" t="s">
        <v>815</v>
      </c>
      <c r="H45" s="156" t="s">
        <v>816</v>
      </c>
      <c r="I45" s="156" t="s">
        <v>817</v>
      </c>
    </row>
    <row r="46" spans="1:9">
      <c r="A46" t="str">
        <f t="shared" si="0"/>
        <v>Board (Y/N)</v>
      </c>
      <c r="D46" s="166" t="s">
        <v>419</v>
      </c>
      <c r="E46" s="166" t="s">
        <v>516</v>
      </c>
      <c r="F46" s="196" t="s">
        <v>1361</v>
      </c>
      <c r="G46" s="196" t="s">
        <v>818</v>
      </c>
      <c r="H46" s="196" t="s">
        <v>819</v>
      </c>
      <c r="I46" s="196" t="s">
        <v>820</v>
      </c>
    </row>
    <row r="47" spans="1:9" ht="25.5">
      <c r="A47" t="str">
        <f t="shared" si="0"/>
        <v>Number of upper screws/meter</v>
      </c>
      <c r="D47" t="s">
        <v>366</v>
      </c>
      <c r="E47" t="s">
        <v>517</v>
      </c>
      <c r="F47" s="156" t="s">
        <v>821</v>
      </c>
      <c r="G47" s="156" t="s">
        <v>822</v>
      </c>
      <c r="H47" s="156" t="s">
        <v>823</v>
      </c>
      <c r="I47" s="156" t="s">
        <v>824</v>
      </c>
    </row>
    <row r="48" spans="1:9" ht="25.5">
      <c r="A48" t="str">
        <f t="shared" si="0"/>
        <v>Number of lower screws/meter</v>
      </c>
      <c r="D48" t="s">
        <v>367</v>
      </c>
      <c r="E48" t="s">
        <v>518</v>
      </c>
      <c r="F48" s="156" t="s">
        <v>825</v>
      </c>
      <c r="G48" s="156" t="s">
        <v>826</v>
      </c>
      <c r="H48" s="156" t="s">
        <v>827</v>
      </c>
      <c r="I48" s="156" t="s">
        <v>828</v>
      </c>
    </row>
    <row r="49" spans="1:9" ht="25.5">
      <c r="A49" t="str">
        <f t="shared" si="0"/>
        <v>Minimum anchorage length (Concrete)</v>
      </c>
      <c r="D49" t="s">
        <v>368</v>
      </c>
      <c r="E49" t="s">
        <v>519</v>
      </c>
      <c r="F49" s="156" t="s">
        <v>1362</v>
      </c>
      <c r="G49" s="156" t="s">
        <v>829</v>
      </c>
      <c r="H49" s="156" t="s">
        <v>830</v>
      </c>
      <c r="I49" s="156" t="s">
        <v>831</v>
      </c>
    </row>
    <row r="50" spans="1:9" ht="38.25">
      <c r="A50" t="str">
        <f t="shared" si="0"/>
        <v>Minimum overlap length (Concrete)</v>
      </c>
      <c r="D50" t="s">
        <v>369</v>
      </c>
      <c r="E50" t="s">
        <v>520</v>
      </c>
      <c r="F50" s="156" t="s">
        <v>1363</v>
      </c>
      <c r="G50" s="156" t="s">
        <v>832</v>
      </c>
      <c r="H50" s="156" t="s">
        <v>833</v>
      </c>
      <c r="I50" s="156" t="s">
        <v>834</v>
      </c>
    </row>
    <row r="51" spans="1:9" ht="25.5">
      <c r="A51" t="str">
        <f t="shared" si="0"/>
        <v>Minimum penetration length (Timber)</v>
      </c>
      <c r="D51" t="s">
        <v>370</v>
      </c>
      <c r="E51" t="s">
        <v>521</v>
      </c>
      <c r="F51" s="156" t="s">
        <v>1364</v>
      </c>
      <c r="G51" s="156" t="s">
        <v>835</v>
      </c>
      <c r="H51" s="156" t="s">
        <v>836</v>
      </c>
      <c r="I51" s="156" t="s">
        <v>837</v>
      </c>
    </row>
    <row r="52" spans="1:9">
      <c r="A52" t="str">
        <f t="shared" si="0"/>
        <v>Edge distance a4t</v>
      </c>
      <c r="D52" t="s">
        <v>328</v>
      </c>
      <c r="E52" t="s">
        <v>522</v>
      </c>
      <c r="F52" s="156" t="s">
        <v>838</v>
      </c>
      <c r="G52" s="156" t="s">
        <v>839</v>
      </c>
      <c r="H52" s="156" t="s">
        <v>840</v>
      </c>
      <c r="I52" s="156" t="s">
        <v>841</v>
      </c>
    </row>
    <row r="53" spans="1:9" ht="25.5">
      <c r="A53" t="str">
        <f t="shared" si="0"/>
        <v>Minimum edge distance a4t</v>
      </c>
      <c r="D53" t="s">
        <v>61</v>
      </c>
      <c r="E53" t="s">
        <v>523</v>
      </c>
      <c r="F53" s="156" t="s">
        <v>842</v>
      </c>
      <c r="G53" s="156" t="s">
        <v>843</v>
      </c>
      <c r="H53" s="156" t="s">
        <v>844</v>
      </c>
      <c r="I53" s="156" t="s">
        <v>845</v>
      </c>
    </row>
    <row r="54" spans="1:9">
      <c r="A54" t="str">
        <f t="shared" si="0"/>
        <v>Concrete</v>
      </c>
      <c r="D54" s="6" t="s">
        <v>23</v>
      </c>
      <c r="E54" s="6" t="s">
        <v>327</v>
      </c>
      <c r="F54" s="195" t="s">
        <v>846</v>
      </c>
      <c r="G54" s="195" t="s">
        <v>847</v>
      </c>
      <c r="H54" s="195" t="s">
        <v>848</v>
      </c>
      <c r="I54" s="195" t="s">
        <v>849</v>
      </c>
    </row>
    <row r="55" spans="1:9">
      <c r="A55" t="str">
        <f t="shared" si="0"/>
        <v>Concrete class</v>
      </c>
      <c r="D55" s="166" t="s">
        <v>63</v>
      </c>
      <c r="E55" s="166" t="s">
        <v>524</v>
      </c>
      <c r="F55" s="196" t="s">
        <v>850</v>
      </c>
      <c r="G55" s="196" t="s">
        <v>851</v>
      </c>
      <c r="H55" s="196" t="s">
        <v>852</v>
      </c>
      <c r="I55" s="196" t="s">
        <v>853</v>
      </c>
    </row>
    <row r="56" spans="1:9">
      <c r="A56" t="str">
        <f t="shared" si="0"/>
        <v>Stirrups diameter</v>
      </c>
      <c r="D56" s="166" t="s">
        <v>24</v>
      </c>
      <c r="E56" s="166" t="s">
        <v>644</v>
      </c>
      <c r="F56" s="196" t="s">
        <v>854</v>
      </c>
      <c r="G56" s="196" t="s">
        <v>855</v>
      </c>
      <c r="H56" s="196" t="s">
        <v>856</v>
      </c>
      <c r="I56" s="196" t="s">
        <v>857</v>
      </c>
    </row>
    <row r="57" spans="1:9" ht="25.5">
      <c r="A57" t="str">
        <f t="shared" si="0"/>
        <v>Longitudinal bars diameter</v>
      </c>
      <c r="D57" s="166" t="s">
        <v>400</v>
      </c>
      <c r="E57" s="166" t="s">
        <v>525</v>
      </c>
      <c r="F57" s="196" t="s">
        <v>858</v>
      </c>
      <c r="G57" s="196" t="s">
        <v>859</v>
      </c>
      <c r="H57" s="196" t="s">
        <v>860</v>
      </c>
      <c r="I57" s="196" t="s">
        <v>861</v>
      </c>
    </row>
    <row r="58" spans="1:9" ht="25.5">
      <c r="A58" t="str">
        <f t="shared" si="0"/>
        <v>Aggregate diameter (*)</v>
      </c>
      <c r="D58" s="166" t="s">
        <v>669</v>
      </c>
      <c r="E58" s="166" t="s">
        <v>670</v>
      </c>
      <c r="F58" s="196" t="s">
        <v>1365</v>
      </c>
      <c r="G58" s="196" t="s">
        <v>862</v>
      </c>
      <c r="H58" s="196" t="s">
        <v>863</v>
      </c>
      <c r="I58" s="196" t="s">
        <v>864</v>
      </c>
    </row>
    <row r="59" spans="1:9" ht="25.5">
      <c r="A59" t="str">
        <f t="shared" si="0"/>
        <v>Environmental exposure class</v>
      </c>
      <c r="D59" s="166" t="s">
        <v>384</v>
      </c>
      <c r="E59" s="166" t="s">
        <v>526</v>
      </c>
      <c r="F59" s="196" t="s">
        <v>865</v>
      </c>
      <c r="G59" s="196" t="s">
        <v>866</v>
      </c>
      <c r="H59" s="196" t="s">
        <v>867</v>
      </c>
      <c r="I59" s="196" t="s">
        <v>868</v>
      </c>
    </row>
    <row r="60" spans="1:9" ht="25.5">
      <c r="A60" t="str">
        <f t="shared" si="0"/>
        <v>Minimum stirrups cover</v>
      </c>
      <c r="D60" s="166" t="s">
        <v>401</v>
      </c>
      <c r="E60" s="166" t="s">
        <v>645</v>
      </c>
      <c r="F60" s="196" t="s">
        <v>869</v>
      </c>
      <c r="G60" s="196" t="s">
        <v>870</v>
      </c>
      <c r="H60" s="196" t="s">
        <v>871</v>
      </c>
      <c r="I60" s="196" t="s">
        <v>872</v>
      </c>
    </row>
    <row r="61" spans="1:9" ht="25.5">
      <c r="A61" t="str">
        <f t="shared" si="0"/>
        <v>Minimum longitudinal bars cover</v>
      </c>
      <c r="D61" s="166" t="s">
        <v>402</v>
      </c>
      <c r="E61" s="166" t="s">
        <v>527</v>
      </c>
      <c r="F61" s="196" t="s">
        <v>1366</v>
      </c>
      <c r="G61" s="196" t="s">
        <v>873</v>
      </c>
      <c r="H61" s="196" t="s">
        <v>874</v>
      </c>
      <c r="I61" s="196" t="s">
        <v>875</v>
      </c>
    </row>
    <row r="62" spans="1:9" ht="25.5">
      <c r="A62" t="str">
        <f t="shared" si="0"/>
        <v>Longitudinal iron axis distance</v>
      </c>
      <c r="D62" s="166" t="s">
        <v>49</v>
      </c>
      <c r="E62" s="166" t="s">
        <v>528</v>
      </c>
      <c r="F62" s="196" t="s">
        <v>876</v>
      </c>
      <c r="G62" s="196" t="s">
        <v>877</v>
      </c>
      <c r="H62" s="196" t="s">
        <v>878</v>
      </c>
      <c r="I62" s="196" t="s">
        <v>879</v>
      </c>
    </row>
    <row r="63" spans="1:9">
      <c r="A63" t="str">
        <f t="shared" si="0"/>
        <v>Minimum curb width</v>
      </c>
      <c r="D63" t="s">
        <v>403</v>
      </c>
      <c r="E63" t="s">
        <v>529</v>
      </c>
      <c r="F63" s="156" t="s">
        <v>880</v>
      </c>
      <c r="G63" s="156" t="s">
        <v>881</v>
      </c>
      <c r="H63" s="156" t="s">
        <v>882</v>
      </c>
      <c r="I63" s="156" t="s">
        <v>883</v>
      </c>
    </row>
    <row r="64" spans="1:9">
      <c r="A64" t="str">
        <f t="shared" si="0"/>
        <v>Resistances</v>
      </c>
      <c r="D64" s="6" t="s">
        <v>106</v>
      </c>
      <c r="E64" s="6" t="s">
        <v>530</v>
      </c>
      <c r="F64" s="195" t="s">
        <v>884</v>
      </c>
      <c r="G64" s="195" t="s">
        <v>885</v>
      </c>
      <c r="H64" s="195" t="s">
        <v>886</v>
      </c>
      <c r="I64" s="195" t="s">
        <v>887</v>
      </c>
    </row>
    <row r="65" spans="1:9" ht="38.25">
      <c r="A65" t="str">
        <f t="shared" si="0"/>
        <v>Wood compression strength (design)</v>
      </c>
      <c r="D65" t="s">
        <v>107</v>
      </c>
      <c r="E65" t="s">
        <v>531</v>
      </c>
      <c r="F65" s="156" t="s">
        <v>888</v>
      </c>
      <c r="G65" s="156" t="s">
        <v>889</v>
      </c>
      <c r="H65" s="156" t="s">
        <v>890</v>
      </c>
      <c r="I65" s="156" t="s">
        <v>891</v>
      </c>
    </row>
    <row r="66" spans="1:9" ht="38.25">
      <c r="A66" t="str">
        <f t="shared" si="0"/>
        <v>Concrete compressive strength (design)</v>
      </c>
      <c r="D66" t="s">
        <v>108</v>
      </c>
      <c r="E66" t="s">
        <v>532</v>
      </c>
      <c r="F66" s="156" t="s">
        <v>892</v>
      </c>
      <c r="G66" s="156" t="s">
        <v>893</v>
      </c>
      <c r="H66" s="156" t="s">
        <v>894</v>
      </c>
      <c r="I66" s="156" t="s">
        <v>895</v>
      </c>
    </row>
    <row r="67" spans="1:9">
      <c r="A67" t="str">
        <f t="shared" si="0"/>
        <v>min(T,CLS)</v>
      </c>
      <c r="D67" t="s">
        <v>109</v>
      </c>
      <c r="E67" t="s">
        <v>533</v>
      </c>
      <c r="F67" s="156" t="s">
        <v>109</v>
      </c>
      <c r="G67" s="156" t="s">
        <v>109</v>
      </c>
      <c r="H67" s="156" t="s">
        <v>109</v>
      </c>
      <c r="I67" s="156" t="s">
        <v>109</v>
      </c>
    </row>
    <row r="68" spans="1:9">
      <c r="A68" t="str">
        <f t="shared" ref="A68:A131" si="1">IF($B$1=$D$1,D68,IF($B$1=$E$1,E68,IF($B$1=$F$1,F68,IF($B$1=$G$1,G68,IF($B$1=$H$1,H68,IF($B$1=$I$1,I68,"ERROR"))))))</f>
        <v>Tension of adhesion</v>
      </c>
      <c r="D68" t="s">
        <v>101</v>
      </c>
      <c r="E68" t="s">
        <v>534</v>
      </c>
      <c r="F68" s="156" t="s">
        <v>896</v>
      </c>
      <c r="G68" s="156" t="s">
        <v>897</v>
      </c>
      <c r="H68" s="156" t="s">
        <v>898</v>
      </c>
      <c r="I68" s="156" t="s">
        <v>899</v>
      </c>
    </row>
    <row r="69" spans="1:9">
      <c r="A69" t="str">
        <f t="shared" si="1"/>
        <v>Effective geometry</v>
      </c>
      <c r="D69" s="6" t="s">
        <v>52</v>
      </c>
      <c r="E69" s="6" t="s">
        <v>535</v>
      </c>
      <c r="F69" s="195" t="s">
        <v>900</v>
      </c>
      <c r="G69" s="195" t="s">
        <v>901</v>
      </c>
      <c r="H69" s="195" t="s">
        <v>902</v>
      </c>
      <c r="I69" s="195" t="s">
        <v>903</v>
      </c>
    </row>
    <row r="70" spans="1:9" ht="25.5">
      <c r="A70" t="str">
        <f t="shared" si="1"/>
        <v>Longitudinal bars axis distance</v>
      </c>
      <c r="D70" t="s">
        <v>49</v>
      </c>
      <c r="E70" t="s">
        <v>536</v>
      </c>
      <c r="F70" s="156" t="s">
        <v>876</v>
      </c>
      <c r="G70" s="156" t="s">
        <v>877</v>
      </c>
      <c r="H70" s="156" t="s">
        <v>878</v>
      </c>
      <c r="I70" s="156" t="s">
        <v>879</v>
      </c>
    </row>
    <row r="71" spans="1:9" ht="25.5">
      <c r="A71" t="str">
        <f t="shared" si="1"/>
        <v>Effective curb width</v>
      </c>
      <c r="D71" s="166" t="s">
        <v>404</v>
      </c>
      <c r="E71" s="166" t="s">
        <v>537</v>
      </c>
      <c r="F71" s="196" t="s">
        <v>1367</v>
      </c>
      <c r="G71" s="196" t="s">
        <v>904</v>
      </c>
      <c r="H71" s="196" t="s">
        <v>905</v>
      </c>
      <c r="I71" s="196" t="s">
        <v>906</v>
      </c>
    </row>
    <row r="72" spans="1:9" ht="25.5">
      <c r="A72" t="str">
        <f t="shared" si="1"/>
        <v>Length of overlap</v>
      </c>
      <c r="D72" s="166" t="s">
        <v>56</v>
      </c>
      <c r="E72" s="166" t="s">
        <v>538</v>
      </c>
      <c r="F72" s="196" t="s">
        <v>907</v>
      </c>
      <c r="G72" s="196" t="s">
        <v>908</v>
      </c>
      <c r="H72" s="196" t="s">
        <v>909</v>
      </c>
      <c r="I72" s="196" t="s">
        <v>910</v>
      </c>
    </row>
    <row r="73" spans="1:9" ht="25.5">
      <c r="A73" t="str">
        <f t="shared" si="1"/>
        <v>Anchorage length</v>
      </c>
      <c r="D73" s="166" t="s">
        <v>331</v>
      </c>
      <c r="E73" s="166" t="s">
        <v>539</v>
      </c>
      <c r="F73" s="196" t="s">
        <v>911</v>
      </c>
      <c r="G73" s="196" t="s">
        <v>912</v>
      </c>
      <c r="H73" s="196" t="s">
        <v>913</v>
      </c>
      <c r="I73" s="196" t="s">
        <v>914</v>
      </c>
    </row>
    <row r="74" spans="1:9" ht="38.25">
      <c r="A74" t="str">
        <f t="shared" si="1"/>
        <v>Distance from the edge screws</v>
      </c>
      <c r="D74" s="166" t="s">
        <v>60</v>
      </c>
      <c r="E74" s="166" t="s">
        <v>620</v>
      </c>
      <c r="F74" s="196" t="s">
        <v>1368</v>
      </c>
      <c r="G74" s="196" t="s">
        <v>915</v>
      </c>
      <c r="H74" s="196" t="s">
        <v>916</v>
      </c>
      <c r="I74" s="196" t="s">
        <v>917</v>
      </c>
    </row>
    <row r="75" spans="1:9" ht="38.25">
      <c r="A75" t="str">
        <f t="shared" si="1"/>
        <v>Checking consistency of screw/rod position</v>
      </c>
      <c r="D75" s="166" t="s">
        <v>329</v>
      </c>
      <c r="E75" s="166" t="s">
        <v>540</v>
      </c>
      <c r="F75" s="196" t="s">
        <v>1369</v>
      </c>
      <c r="G75" s="196" t="s">
        <v>918</v>
      </c>
      <c r="H75" s="196" t="s">
        <v>919</v>
      </c>
      <c r="I75" s="196" t="s">
        <v>920</v>
      </c>
    </row>
    <row r="76" spans="1:9" ht="25.5">
      <c r="A76" t="str">
        <f t="shared" si="1"/>
        <v>Upper edge screw distance</v>
      </c>
      <c r="D76" s="166" t="s">
        <v>247</v>
      </c>
      <c r="E76" s="166" t="s">
        <v>541</v>
      </c>
      <c r="F76" s="196" t="s">
        <v>921</v>
      </c>
      <c r="G76" s="196" t="s">
        <v>922</v>
      </c>
      <c r="H76" s="196" t="s">
        <v>923</v>
      </c>
      <c r="I76" s="196" t="s">
        <v>924</v>
      </c>
    </row>
    <row r="77" spans="1:9" ht="38.25">
      <c r="A77" t="str">
        <f t="shared" si="1"/>
        <v>Screw thread length in concrete (*)</v>
      </c>
      <c r="D77" t="s">
        <v>372</v>
      </c>
      <c r="E77" t="s">
        <v>542</v>
      </c>
      <c r="F77" s="156" t="s">
        <v>925</v>
      </c>
      <c r="G77" s="156" t="s">
        <v>926</v>
      </c>
      <c r="H77" s="156" t="s">
        <v>927</v>
      </c>
      <c r="I77" s="156" t="s">
        <v>928</v>
      </c>
    </row>
    <row r="78" spans="1:9" ht="25.5">
      <c r="A78" t="str">
        <f t="shared" si="1"/>
        <v>Screw thread length in timber</v>
      </c>
      <c r="D78" t="s">
        <v>86</v>
      </c>
      <c r="E78" t="s">
        <v>543</v>
      </c>
      <c r="F78" s="156" t="s">
        <v>929</v>
      </c>
      <c r="G78" s="156" t="s">
        <v>930</v>
      </c>
      <c r="H78" s="156" t="s">
        <v>931</v>
      </c>
      <c r="I78" s="156" t="s">
        <v>932</v>
      </c>
    </row>
    <row r="79" spans="1:9" ht="38.25">
      <c r="A79" t="str">
        <f t="shared" si="1"/>
        <v>Effective screw thread length in timber</v>
      </c>
      <c r="D79" t="s">
        <v>85</v>
      </c>
      <c r="E79" t="s">
        <v>544</v>
      </c>
      <c r="F79" s="156" t="s">
        <v>933</v>
      </c>
      <c r="G79" s="156" t="s">
        <v>934</v>
      </c>
      <c r="H79" s="156" t="s">
        <v>935</v>
      </c>
      <c r="I79" s="156" t="s">
        <v>936</v>
      </c>
    </row>
    <row r="80" spans="1:9" ht="38.25">
      <c r="A80" t="str">
        <f t="shared" si="1"/>
        <v>Distance between upper/lower screws</v>
      </c>
      <c r="D80" t="s">
        <v>406</v>
      </c>
      <c r="E80" t="s">
        <v>545</v>
      </c>
      <c r="F80" s="156" t="s">
        <v>937</v>
      </c>
      <c r="G80" s="156" t="s">
        <v>938</v>
      </c>
      <c r="H80" s="156" t="s">
        <v>939</v>
      </c>
      <c r="I80" s="156" t="s">
        <v>940</v>
      </c>
    </row>
    <row r="81" spans="1:9" ht="76.5">
      <c r="A81" t="str">
        <f t="shared" si="1"/>
        <v>(*) it is assumed that the screw penetrates the curb to the opposite reinforcement bar</v>
      </c>
      <c r="D81" s="166" t="s">
        <v>371</v>
      </c>
      <c r="E81" s="166" t="s">
        <v>546</v>
      </c>
      <c r="F81" s="196" t="s">
        <v>1370</v>
      </c>
      <c r="G81" s="196" t="s">
        <v>941</v>
      </c>
      <c r="H81" s="196" t="s">
        <v>942</v>
      </c>
      <c r="I81" s="196" t="s">
        <v>943</v>
      </c>
    </row>
    <row r="82" spans="1:9">
      <c r="A82" t="str">
        <f t="shared" si="1"/>
        <v>Verification</v>
      </c>
      <c r="D82" s="6" t="s">
        <v>442</v>
      </c>
      <c r="E82" s="6" t="s">
        <v>547</v>
      </c>
      <c r="F82" s="195" t="s">
        <v>944</v>
      </c>
      <c r="G82" s="195" t="s">
        <v>945</v>
      </c>
      <c r="H82" s="195" t="s">
        <v>946</v>
      </c>
      <c r="I82" s="195" t="s">
        <v>947</v>
      </c>
    </row>
    <row r="83" spans="1:9" ht="25.5">
      <c r="A83" t="str">
        <f t="shared" si="1"/>
        <v>Maximum action on single screw</v>
      </c>
      <c r="D83" t="s">
        <v>425</v>
      </c>
      <c r="E83" t="s">
        <v>548</v>
      </c>
      <c r="F83" s="156" t="s">
        <v>948</v>
      </c>
      <c r="G83" s="156" t="s">
        <v>949</v>
      </c>
      <c r="H83" s="156" t="s">
        <v>950</v>
      </c>
      <c r="I83" s="156" t="s">
        <v>951</v>
      </c>
    </row>
    <row r="84" spans="1:9" ht="38.25">
      <c r="A84" t="str">
        <f t="shared" si="1"/>
        <v>Single screw axial resistance timber/steel side</v>
      </c>
      <c r="D84" t="s">
        <v>415</v>
      </c>
      <c r="E84" t="s">
        <v>549</v>
      </c>
      <c r="F84" s="156" t="s">
        <v>952</v>
      </c>
      <c r="G84" s="156" t="s">
        <v>953</v>
      </c>
      <c r="H84" s="156" t="s">
        <v>954</v>
      </c>
      <c r="I84" s="156" t="s">
        <v>955</v>
      </c>
    </row>
    <row r="85" spans="1:9" ht="25.5">
      <c r="A85" t="str">
        <f t="shared" si="1"/>
        <v>Axial stress work ratio</v>
      </c>
      <c r="D85" t="s">
        <v>171</v>
      </c>
      <c r="E85" t="s">
        <v>550</v>
      </c>
      <c r="F85" s="156" t="s">
        <v>956</v>
      </c>
      <c r="G85" s="156" t="s">
        <v>957</v>
      </c>
      <c r="H85" s="156" t="s">
        <v>958</v>
      </c>
      <c r="I85" s="156" t="s">
        <v>959</v>
      </c>
    </row>
    <row r="86" spans="1:9" ht="25.5">
      <c r="A86" t="str">
        <f t="shared" si="1"/>
        <v>Maximum shear action</v>
      </c>
      <c r="D86" t="s">
        <v>134</v>
      </c>
      <c r="E86" t="s">
        <v>551</v>
      </c>
      <c r="F86" s="156" t="s">
        <v>960</v>
      </c>
      <c r="G86" s="156" t="s">
        <v>961</v>
      </c>
      <c r="H86" s="156" t="s">
        <v>962</v>
      </c>
      <c r="I86" s="156" t="s">
        <v>963</v>
      </c>
    </row>
    <row r="87" spans="1:9" ht="38.25">
      <c r="A87" t="str">
        <f t="shared" si="1"/>
        <v>Single screw shear strength</v>
      </c>
      <c r="D87" t="s">
        <v>223</v>
      </c>
      <c r="E87" t="s">
        <v>552</v>
      </c>
      <c r="F87" s="156" t="s">
        <v>964</v>
      </c>
      <c r="G87" s="156" t="s">
        <v>965</v>
      </c>
      <c r="H87" s="156" t="s">
        <v>966</v>
      </c>
      <c r="I87" s="156" t="s">
        <v>967</v>
      </c>
    </row>
    <row r="88" spans="1:9" ht="25.5">
      <c r="A88" t="str">
        <f t="shared" si="1"/>
        <v>Shear stress work ratio</v>
      </c>
      <c r="D88" t="s">
        <v>172</v>
      </c>
      <c r="E88" t="s">
        <v>553</v>
      </c>
      <c r="F88" s="156" t="s">
        <v>968</v>
      </c>
      <c r="G88" s="156" t="s">
        <v>969</v>
      </c>
      <c r="H88" s="156" t="s">
        <v>970</v>
      </c>
      <c r="I88" s="156" t="s">
        <v>971</v>
      </c>
    </row>
    <row r="89" spans="1:9" ht="38.25">
      <c r="A89" t="str">
        <f t="shared" si="1"/>
        <v>Combined shear-axial working ratio</v>
      </c>
      <c r="D89" t="s">
        <v>173</v>
      </c>
      <c r="E89" t="s">
        <v>554</v>
      </c>
      <c r="F89" s="156" t="s">
        <v>972</v>
      </c>
      <c r="G89" s="156" t="s">
        <v>973</v>
      </c>
      <c r="H89" s="156" t="s">
        <v>974</v>
      </c>
      <c r="I89" s="156" t="s">
        <v>975</v>
      </c>
    </row>
    <row r="90" spans="1:9" ht="38.25">
      <c r="A90" t="str">
        <f t="shared" si="1"/>
        <v>Concrete side anchorage verification</v>
      </c>
      <c r="D90" s="6" t="s">
        <v>98</v>
      </c>
      <c r="E90" s="6" t="s">
        <v>555</v>
      </c>
      <c r="F90" s="195" t="s">
        <v>976</v>
      </c>
      <c r="G90" s="195" t="s">
        <v>977</v>
      </c>
      <c r="H90" s="195" t="s">
        <v>978</v>
      </c>
      <c r="I90" s="195" t="s">
        <v>979</v>
      </c>
    </row>
    <row r="91" spans="1:9">
      <c r="A91" t="str">
        <f t="shared" si="1"/>
        <v>Effective length</v>
      </c>
      <c r="D91" t="s">
        <v>103</v>
      </c>
      <c r="E91" t="s">
        <v>556</v>
      </c>
      <c r="F91" s="156" t="s">
        <v>980</v>
      </c>
      <c r="G91" s="156" t="s">
        <v>981</v>
      </c>
      <c r="H91" s="156" t="s">
        <v>982</v>
      </c>
      <c r="I91" s="156" t="s">
        <v>983</v>
      </c>
    </row>
    <row r="92" spans="1:9" ht="25.5">
      <c r="A92" t="str">
        <f t="shared" si="1"/>
        <v>Minimum anchor length</v>
      </c>
      <c r="D92" t="s">
        <v>422</v>
      </c>
      <c r="E92" t="s">
        <v>557</v>
      </c>
      <c r="F92" s="156" t="s">
        <v>984</v>
      </c>
      <c r="G92" s="156" t="s">
        <v>985</v>
      </c>
      <c r="H92" s="156" t="s">
        <v>986</v>
      </c>
      <c r="I92" s="156" t="s">
        <v>987</v>
      </c>
    </row>
    <row r="93" spans="1:9">
      <c r="A93" t="str">
        <f t="shared" si="1"/>
        <v>Degree of utilization</v>
      </c>
      <c r="D93" t="s">
        <v>140</v>
      </c>
      <c r="E93" t="s">
        <v>558</v>
      </c>
      <c r="F93" s="156" t="s">
        <v>988</v>
      </c>
      <c r="G93" s="156" t="s">
        <v>989</v>
      </c>
      <c r="H93" s="156" t="s">
        <v>990</v>
      </c>
      <c r="I93" s="156" t="s">
        <v>991</v>
      </c>
    </row>
    <row r="94" spans="1:9">
      <c r="A94" t="str">
        <f t="shared" si="1"/>
        <v>Effective length</v>
      </c>
      <c r="D94" t="s">
        <v>103</v>
      </c>
      <c r="E94" t="s">
        <v>556</v>
      </c>
      <c r="F94" s="156" t="s">
        <v>980</v>
      </c>
      <c r="G94" s="156" t="s">
        <v>981</v>
      </c>
      <c r="H94" s="156" t="s">
        <v>982</v>
      </c>
      <c r="I94" s="156" t="s">
        <v>983</v>
      </c>
    </row>
    <row r="95" spans="1:9" ht="25.5">
      <c r="A95" t="str">
        <f t="shared" si="1"/>
        <v>Minimum overlap length</v>
      </c>
      <c r="D95" t="s">
        <v>423</v>
      </c>
      <c r="E95" t="s">
        <v>559</v>
      </c>
      <c r="F95" s="156" t="s">
        <v>1363</v>
      </c>
      <c r="G95" s="156" t="s">
        <v>992</v>
      </c>
      <c r="H95" s="156" t="s">
        <v>993</v>
      </c>
      <c r="I95" s="156" t="s">
        <v>994</v>
      </c>
    </row>
    <row r="96" spans="1:9">
      <c r="A96" t="str">
        <f t="shared" si="1"/>
        <v>Degree of utilization</v>
      </c>
      <c r="D96" t="s">
        <v>145</v>
      </c>
      <c r="E96" t="s">
        <v>558</v>
      </c>
      <c r="F96" s="156" t="s">
        <v>995</v>
      </c>
      <c r="G96" s="156" t="s">
        <v>996</v>
      </c>
      <c r="H96" s="156" t="s">
        <v>997</v>
      </c>
      <c r="I96" s="156" t="s">
        <v>998</v>
      </c>
    </row>
    <row r="97" spans="1:9">
      <c r="A97" t="str">
        <f t="shared" si="1"/>
        <v>Stiffnesses</v>
      </c>
      <c r="D97" s="6" t="s">
        <v>424</v>
      </c>
      <c r="E97" s="6" t="s">
        <v>560</v>
      </c>
      <c r="F97" s="195" t="s">
        <v>999</v>
      </c>
      <c r="G97" s="195" t="s">
        <v>1000</v>
      </c>
      <c r="H97" s="195" t="s">
        <v>1001</v>
      </c>
      <c r="I97" s="195" t="s">
        <v>1002</v>
      </c>
    </row>
    <row r="98" spans="1:9">
      <c r="A98" t="str">
        <f t="shared" si="1"/>
        <v>Shear stiffness</v>
      </c>
      <c r="D98" t="s">
        <v>272</v>
      </c>
      <c r="E98" t="s">
        <v>561</v>
      </c>
      <c r="F98" s="156" t="s">
        <v>1003</v>
      </c>
      <c r="G98" s="156" t="s">
        <v>1004</v>
      </c>
      <c r="H98" s="156" t="s">
        <v>1005</v>
      </c>
      <c r="I98" s="156" t="s">
        <v>1006</v>
      </c>
    </row>
    <row r="99" spans="1:9">
      <c r="A99" t="str">
        <f t="shared" si="1"/>
        <v>Axial stiffness</v>
      </c>
      <c r="D99" t="s">
        <v>271</v>
      </c>
      <c r="E99" t="s">
        <v>562</v>
      </c>
      <c r="F99" s="156" t="s">
        <v>1007</v>
      </c>
      <c r="G99" s="156" t="s">
        <v>1008</v>
      </c>
      <c r="H99" s="156" t="s">
        <v>1009</v>
      </c>
      <c r="I99" s="156" t="s">
        <v>1008</v>
      </c>
    </row>
    <row r="100" spans="1:9">
      <c r="A100" t="str">
        <f t="shared" si="1"/>
        <v>Rotational stiffness (*)</v>
      </c>
      <c r="D100" t="s">
        <v>653</v>
      </c>
      <c r="E100" t="s">
        <v>654</v>
      </c>
      <c r="F100" s="156" t="s">
        <v>1371</v>
      </c>
      <c r="G100" s="156" t="s">
        <v>1011</v>
      </c>
      <c r="H100" s="156" t="s">
        <v>1012</v>
      </c>
      <c r="I100" s="156" t="s">
        <v>1011</v>
      </c>
    </row>
    <row r="101" spans="1:9" ht="25.5">
      <c r="A101" t="str">
        <f t="shared" si="1"/>
        <v>Neutral axis calculation - Bending</v>
      </c>
      <c r="D101" s="126" t="s">
        <v>246</v>
      </c>
      <c r="E101" s="126" t="s">
        <v>563</v>
      </c>
      <c r="F101" s="198" t="s">
        <v>1013</v>
      </c>
      <c r="G101" s="198" t="s">
        <v>1014</v>
      </c>
      <c r="H101" s="198" t="s">
        <v>1015</v>
      </c>
      <c r="I101" s="198" t="s">
        <v>1016</v>
      </c>
    </row>
    <row r="102" spans="1:9" ht="25.5">
      <c r="A102" t="str">
        <f t="shared" si="1"/>
        <v>Bending moment with respect to screws</v>
      </c>
      <c r="D102" t="s">
        <v>407</v>
      </c>
      <c r="E102" t="s">
        <v>564</v>
      </c>
      <c r="F102" s="156" t="s">
        <v>1017</v>
      </c>
      <c r="G102" s="156" t="s">
        <v>1018</v>
      </c>
      <c r="H102" s="156" t="s">
        <v>1019</v>
      </c>
      <c r="I102" s="156" t="s">
        <v>1020</v>
      </c>
    </row>
    <row r="103" spans="1:9">
      <c r="A103" t="str">
        <f t="shared" si="1"/>
        <v>Neutral axis</v>
      </c>
      <c r="D103" t="s">
        <v>408</v>
      </c>
      <c r="E103" t="s">
        <v>565</v>
      </c>
      <c r="F103" s="156" t="s">
        <v>1021</v>
      </c>
      <c r="G103" s="156" t="s">
        <v>1022</v>
      </c>
      <c r="H103" s="156" t="s">
        <v>1023</v>
      </c>
      <c r="I103" s="156" t="s">
        <v>1024</v>
      </c>
    </row>
    <row r="104" spans="1:9" ht="25.5">
      <c r="A104" t="str">
        <f t="shared" si="1"/>
        <v>Compressed portion first lamella</v>
      </c>
      <c r="D104" t="s">
        <v>409</v>
      </c>
      <c r="E104" t="s">
        <v>566</v>
      </c>
      <c r="F104" s="156" t="s">
        <v>1372</v>
      </c>
      <c r="G104" s="156" t="s">
        <v>1025</v>
      </c>
      <c r="H104" s="156" t="s">
        <v>1026</v>
      </c>
      <c r="I104" s="156" t="s">
        <v>1027</v>
      </c>
    </row>
    <row r="105" spans="1:9" ht="25.5">
      <c r="A105" t="str">
        <f t="shared" si="1"/>
        <v>Compressed portion second lamella</v>
      </c>
      <c r="D105" t="s">
        <v>410</v>
      </c>
      <c r="E105" t="s">
        <v>567</v>
      </c>
      <c r="F105" s="156" t="s">
        <v>1373</v>
      </c>
      <c r="G105" s="156" t="s">
        <v>1028</v>
      </c>
      <c r="H105" s="156" t="s">
        <v>1029</v>
      </c>
      <c r="I105" s="156" t="s">
        <v>1030</v>
      </c>
    </row>
    <row r="106" spans="1:9" ht="25.5">
      <c r="A106" t="str">
        <f t="shared" si="1"/>
        <v>Compressed portion third lamella</v>
      </c>
      <c r="D106" t="s">
        <v>411</v>
      </c>
      <c r="E106" t="s">
        <v>568</v>
      </c>
      <c r="F106" s="156" t="s">
        <v>1374</v>
      </c>
      <c r="G106" s="156" t="s">
        <v>1031</v>
      </c>
      <c r="H106" s="156" t="s">
        <v>1032</v>
      </c>
      <c r="I106" s="156" t="s">
        <v>1033</v>
      </c>
    </row>
    <row r="107" spans="1:9">
      <c r="A107" t="str">
        <f t="shared" si="1"/>
        <v>Resulting position</v>
      </c>
      <c r="D107" t="s">
        <v>412</v>
      </c>
      <c r="E107" t="s">
        <v>569</v>
      </c>
      <c r="F107" s="156" t="s">
        <v>1034</v>
      </c>
      <c r="G107" s="156" t="s">
        <v>1035</v>
      </c>
      <c r="H107" s="156" t="s">
        <v>1036</v>
      </c>
      <c r="I107" s="156" t="s">
        <v>1037</v>
      </c>
    </row>
    <row r="108" spans="1:9">
      <c r="A108" t="str">
        <f t="shared" si="1"/>
        <v>Lever arm</v>
      </c>
      <c r="D108" t="s">
        <v>83</v>
      </c>
      <c r="E108" t="s">
        <v>570</v>
      </c>
      <c r="F108" s="156" t="s">
        <v>1375</v>
      </c>
      <c r="G108" s="156" t="s">
        <v>1038</v>
      </c>
      <c r="H108" s="156" t="s">
        <v>1039</v>
      </c>
      <c r="I108" s="156" t="s">
        <v>1040</v>
      </c>
    </row>
    <row r="109" spans="1:9">
      <c r="A109" t="str">
        <f t="shared" si="1"/>
        <v>Stress calculation</v>
      </c>
      <c r="D109" s="126" t="s">
        <v>123</v>
      </c>
      <c r="E109" s="126" t="s">
        <v>571</v>
      </c>
      <c r="F109" s="198" t="s">
        <v>1041</v>
      </c>
      <c r="G109" s="198" t="s">
        <v>1042</v>
      </c>
      <c r="H109" s="198" t="s">
        <v>1043</v>
      </c>
      <c r="I109" s="198" t="s">
        <v>1044</v>
      </c>
    </row>
    <row r="110" spans="1:9" ht="25.5">
      <c r="A110" t="str">
        <f t="shared" si="1"/>
        <v>Maximum action on all screws</v>
      </c>
      <c r="D110" t="s">
        <v>110</v>
      </c>
      <c r="E110" t="s">
        <v>572</v>
      </c>
      <c r="F110" s="156" t="s">
        <v>1376</v>
      </c>
      <c r="G110" s="156" t="s">
        <v>1045</v>
      </c>
      <c r="H110" s="156" t="s">
        <v>1046</v>
      </c>
      <c r="I110" s="156" t="s">
        <v>1047</v>
      </c>
    </row>
    <row r="111" spans="1:9" ht="25.5">
      <c r="A111" t="str">
        <f t="shared" si="1"/>
        <v>Maximum action on single screw (*)</v>
      </c>
      <c r="D111" t="s">
        <v>374</v>
      </c>
      <c r="E111" t="s">
        <v>573</v>
      </c>
      <c r="F111" s="156" t="s">
        <v>1377</v>
      </c>
      <c r="G111" s="156" t="s">
        <v>1048</v>
      </c>
      <c r="H111" s="156" t="s">
        <v>1049</v>
      </c>
      <c r="I111" s="156" t="s">
        <v>1050</v>
      </c>
    </row>
    <row r="112" spans="1:9" ht="38.25">
      <c r="A112" t="str">
        <f t="shared" si="1"/>
        <v>Maximum in-plane screw action on single top screw</v>
      </c>
      <c r="D112" t="s">
        <v>124</v>
      </c>
      <c r="E112" t="s">
        <v>574</v>
      </c>
      <c r="F112" s="156" t="s">
        <v>1378</v>
      </c>
      <c r="G112" s="156" t="s">
        <v>1051</v>
      </c>
      <c r="H112" s="156" t="s">
        <v>1052</v>
      </c>
      <c r="I112" s="156" t="s">
        <v>1053</v>
      </c>
    </row>
    <row r="113" spans="1:9" ht="38.25">
      <c r="A113" t="str">
        <f t="shared" si="1"/>
        <v>Maximum in-plane screw action on single lower screw</v>
      </c>
      <c r="D113" t="s">
        <v>125</v>
      </c>
      <c r="E113" t="s">
        <v>575</v>
      </c>
      <c r="F113" s="156" t="s">
        <v>1379</v>
      </c>
      <c r="G113" s="156" t="s">
        <v>1054</v>
      </c>
      <c r="H113" s="156" t="s">
        <v>1055</v>
      </c>
      <c r="I113" s="156" t="s">
        <v>1056</v>
      </c>
    </row>
    <row r="114" spans="1:9" ht="51">
      <c r="A114" t="str">
        <f t="shared" si="1"/>
        <v>Maximum out-of-plane screw action on single top screw</v>
      </c>
      <c r="D114" t="s">
        <v>413</v>
      </c>
      <c r="E114" t="s">
        <v>576</v>
      </c>
      <c r="F114" s="156" t="s">
        <v>1380</v>
      </c>
      <c r="G114" s="156" t="s">
        <v>1057</v>
      </c>
      <c r="H114" s="156" t="s">
        <v>1058</v>
      </c>
      <c r="I114" s="156" t="s">
        <v>1059</v>
      </c>
    </row>
    <row r="115" spans="1:9" ht="51">
      <c r="A115" t="str">
        <f t="shared" si="1"/>
        <v>Maximum out-of-plane screw action on single lower screw</v>
      </c>
      <c r="D115" t="s">
        <v>414</v>
      </c>
      <c r="E115" t="s">
        <v>577</v>
      </c>
      <c r="F115" s="156" t="s">
        <v>1381</v>
      </c>
      <c r="G115" s="156" t="s">
        <v>1060</v>
      </c>
      <c r="H115" s="156" t="s">
        <v>1061</v>
      </c>
      <c r="I115" s="156" t="s">
        <v>1062</v>
      </c>
    </row>
    <row r="116" spans="1:9" ht="25.5">
      <c r="A116" t="str">
        <f t="shared" si="1"/>
        <v>Combined action on single upper screw</v>
      </c>
      <c r="D116" t="s">
        <v>127</v>
      </c>
      <c r="E116" t="s">
        <v>578</v>
      </c>
      <c r="F116" s="156" t="s">
        <v>1382</v>
      </c>
      <c r="G116" s="156" t="s">
        <v>1063</v>
      </c>
      <c r="H116" s="156" t="s">
        <v>1064</v>
      </c>
      <c r="I116" s="156" t="s">
        <v>1065</v>
      </c>
    </row>
    <row r="117" spans="1:9" ht="38.25">
      <c r="A117" t="str">
        <f t="shared" si="1"/>
        <v>Combined action on single lower screw</v>
      </c>
      <c r="D117" t="s">
        <v>126</v>
      </c>
      <c r="E117" t="s">
        <v>579</v>
      </c>
      <c r="F117" s="156" t="s">
        <v>1383</v>
      </c>
      <c r="G117" s="156" t="s">
        <v>1066</v>
      </c>
      <c r="H117" s="156" t="s">
        <v>1067</v>
      </c>
      <c r="I117" s="156" t="s">
        <v>1068</v>
      </c>
    </row>
    <row r="118" spans="1:9" ht="25.5">
      <c r="A118" t="str">
        <f t="shared" si="1"/>
        <v>Maximum shear action</v>
      </c>
      <c r="D118" t="s">
        <v>134</v>
      </c>
      <c r="E118" t="s">
        <v>551</v>
      </c>
      <c r="F118" s="156" t="s">
        <v>960</v>
      </c>
      <c r="G118" s="156" t="s">
        <v>961</v>
      </c>
      <c r="H118" s="156" t="s">
        <v>962</v>
      </c>
      <c r="I118" s="156" t="s">
        <v>963</v>
      </c>
    </row>
    <row r="119" spans="1:9" ht="76.5">
      <c r="A119" t="str">
        <f t="shared" si="1"/>
        <v>(*) traction is considered to be absorbed only by the screws on the lower line</v>
      </c>
      <c r="D119" t="s">
        <v>373</v>
      </c>
      <c r="E119" t="s">
        <v>580</v>
      </c>
      <c r="F119" s="156" t="s">
        <v>1384</v>
      </c>
      <c r="G119" s="156" t="s">
        <v>1069</v>
      </c>
      <c r="H119" s="156" t="s">
        <v>1070</v>
      </c>
      <c r="I119" s="156" t="s">
        <v>1071</v>
      </c>
    </row>
    <row r="120" spans="1:9" ht="25.5">
      <c r="A120" t="str">
        <f t="shared" si="1"/>
        <v>Lower tense fibers</v>
      </c>
      <c r="D120" t="s">
        <v>434</v>
      </c>
      <c r="E120" t="s">
        <v>497</v>
      </c>
      <c r="F120" s="156" t="s">
        <v>1357</v>
      </c>
      <c r="G120" s="156" t="s">
        <v>733</v>
      </c>
      <c r="H120" s="156" t="s">
        <v>734</v>
      </c>
      <c r="I120" s="156" t="s">
        <v>735</v>
      </c>
    </row>
    <row r="121" spans="1:9" ht="25.5">
      <c r="A121" t="str">
        <f t="shared" si="1"/>
        <v>Upper tense fibers</v>
      </c>
      <c r="D121" t="s">
        <v>443</v>
      </c>
      <c r="E121" t="s">
        <v>581</v>
      </c>
      <c r="F121" s="156" t="s">
        <v>1385</v>
      </c>
      <c r="G121" s="156" t="s">
        <v>1072</v>
      </c>
      <c r="H121" s="156" t="s">
        <v>1073</v>
      </c>
      <c r="I121" s="156" t="s">
        <v>1074</v>
      </c>
    </row>
    <row r="122" spans="1:9">
      <c r="A122" t="str">
        <f t="shared" si="1"/>
        <v>Verifications</v>
      </c>
      <c r="D122" s="126" t="s">
        <v>442</v>
      </c>
      <c r="E122" s="126" t="s">
        <v>687</v>
      </c>
      <c r="F122" s="198" t="s">
        <v>944</v>
      </c>
      <c r="G122" s="198" t="s">
        <v>945</v>
      </c>
      <c r="H122" s="198" t="s">
        <v>946</v>
      </c>
      <c r="I122" s="198" t="s">
        <v>947</v>
      </c>
    </row>
    <row r="123" spans="1:9" ht="38.25">
      <c r="A123" t="str">
        <f t="shared" si="1"/>
        <v>Single screw axial capacity timber/steel side</v>
      </c>
      <c r="D123" t="s">
        <v>415</v>
      </c>
      <c r="E123" t="s">
        <v>582</v>
      </c>
      <c r="F123" s="156" t="s">
        <v>952</v>
      </c>
      <c r="G123" s="156" t="s">
        <v>953</v>
      </c>
      <c r="H123" s="156" t="s">
        <v>954</v>
      </c>
      <c r="I123" s="156" t="s">
        <v>955</v>
      </c>
    </row>
    <row r="124" spans="1:9" ht="38.25">
      <c r="A124" t="str">
        <f t="shared" si="1"/>
        <v>Single screw shear capacity</v>
      </c>
      <c r="D124" t="s">
        <v>223</v>
      </c>
      <c r="E124" t="s">
        <v>583</v>
      </c>
      <c r="F124" s="156" t="s">
        <v>964</v>
      </c>
      <c r="G124" s="156" t="s">
        <v>965</v>
      </c>
      <c r="H124" s="156" t="s">
        <v>966</v>
      </c>
      <c r="I124" s="156" t="s">
        <v>967</v>
      </c>
    </row>
    <row r="125" spans="1:9" ht="25.5">
      <c r="A125" t="str">
        <f t="shared" si="1"/>
        <v>Axial stress work ratio</v>
      </c>
      <c r="D125" t="s">
        <v>171</v>
      </c>
      <c r="E125" t="s">
        <v>550</v>
      </c>
      <c r="F125" s="156" t="s">
        <v>956</v>
      </c>
      <c r="G125" s="156" t="s">
        <v>957</v>
      </c>
      <c r="H125" s="156" t="s">
        <v>958</v>
      </c>
      <c r="I125" s="156" t="s">
        <v>959</v>
      </c>
    </row>
    <row r="126" spans="1:9" ht="25.5">
      <c r="A126" t="str">
        <f t="shared" si="1"/>
        <v>Shear stress work ratio</v>
      </c>
      <c r="D126" t="s">
        <v>172</v>
      </c>
      <c r="E126" t="s">
        <v>553</v>
      </c>
      <c r="F126" s="156" t="s">
        <v>968</v>
      </c>
      <c r="G126" s="156" t="s">
        <v>969</v>
      </c>
      <c r="H126" s="156" t="s">
        <v>970</v>
      </c>
      <c r="I126" s="156" t="s">
        <v>971</v>
      </c>
    </row>
    <row r="127" spans="1:9" ht="38.25">
      <c r="A127" t="str">
        <f t="shared" si="1"/>
        <v>Combined shear-axial working ratio</v>
      </c>
      <c r="D127" t="s">
        <v>173</v>
      </c>
      <c r="E127" t="s">
        <v>554</v>
      </c>
      <c r="F127" s="156" t="s">
        <v>972</v>
      </c>
      <c r="G127" s="156" t="s">
        <v>973</v>
      </c>
      <c r="H127" s="156" t="s">
        <v>974</v>
      </c>
      <c r="I127" s="156" t="s">
        <v>975</v>
      </c>
    </row>
    <row r="128" spans="1:9" ht="38.25">
      <c r="A128" t="str">
        <f t="shared" si="1"/>
        <v>Concrete side anchorage verification</v>
      </c>
      <c r="D128" s="126" t="s">
        <v>98</v>
      </c>
      <c r="E128" s="126" t="s">
        <v>555</v>
      </c>
      <c r="F128" s="198" t="s">
        <v>976</v>
      </c>
      <c r="G128" s="198" t="s">
        <v>977</v>
      </c>
      <c r="H128" s="198" t="s">
        <v>978</v>
      </c>
      <c r="I128" s="198" t="s">
        <v>979</v>
      </c>
    </row>
    <row r="129" spans="1:9" ht="25.5">
      <c r="A129" t="str">
        <f t="shared" si="1"/>
        <v>Required anchor length</v>
      </c>
      <c r="D129" t="s">
        <v>135</v>
      </c>
      <c r="E129" t="s">
        <v>584</v>
      </c>
      <c r="F129" s="156" t="s">
        <v>1075</v>
      </c>
      <c r="G129" s="156" t="s">
        <v>1076</v>
      </c>
      <c r="H129" s="156" t="s">
        <v>1077</v>
      </c>
      <c r="I129" s="156" t="s">
        <v>1078</v>
      </c>
    </row>
    <row r="130" spans="1:9" ht="25.5">
      <c r="A130" t="str">
        <f t="shared" si="1"/>
        <v>Minimum anchor length</v>
      </c>
      <c r="D130" t="s">
        <v>137</v>
      </c>
      <c r="E130" t="s">
        <v>557</v>
      </c>
      <c r="F130" s="156" t="s">
        <v>984</v>
      </c>
      <c r="G130" s="156" t="s">
        <v>1079</v>
      </c>
      <c r="H130" s="156" t="s">
        <v>1080</v>
      </c>
      <c r="I130" s="156" t="s">
        <v>987</v>
      </c>
    </row>
    <row r="131" spans="1:9">
      <c r="A131" t="str">
        <f t="shared" si="1"/>
        <v>Effective length</v>
      </c>
      <c r="D131" t="s">
        <v>103</v>
      </c>
      <c r="E131" t="s">
        <v>556</v>
      </c>
      <c r="F131" s="156" t="s">
        <v>980</v>
      </c>
      <c r="G131" s="156" t="s">
        <v>981</v>
      </c>
      <c r="H131" s="156" t="s">
        <v>982</v>
      </c>
      <c r="I131" s="156" t="s">
        <v>983</v>
      </c>
    </row>
    <row r="132" spans="1:9" ht="25.5">
      <c r="A132" t="str">
        <f t="shared" ref="A132:A186" si="2">IF($B$1=$D$1,D132,IF($B$1=$E$1,E132,IF($B$1=$F$1,F132,IF($B$1=$G$1,G132,IF($B$1=$H$1,H132,IF($B$1=$I$1,I132,"ERROR"))))))</f>
        <v>Anchorage length</v>
      </c>
      <c r="D132" t="s">
        <v>340</v>
      </c>
      <c r="E132" t="s">
        <v>539</v>
      </c>
      <c r="F132" s="156" t="s">
        <v>911</v>
      </c>
      <c r="G132" s="156" t="s">
        <v>1081</v>
      </c>
      <c r="H132" s="156" t="s">
        <v>913</v>
      </c>
      <c r="I132" s="156" t="s">
        <v>914</v>
      </c>
    </row>
    <row r="133" spans="1:9">
      <c r="A133" t="str">
        <f t="shared" si="2"/>
        <v>Degree of utilization</v>
      </c>
      <c r="D133" t="s">
        <v>140</v>
      </c>
      <c r="E133" t="s">
        <v>558</v>
      </c>
      <c r="F133" s="156" t="s">
        <v>988</v>
      </c>
      <c r="G133" s="156" t="s">
        <v>989</v>
      </c>
      <c r="H133" s="156" t="s">
        <v>990</v>
      </c>
      <c r="I133" s="156" t="s">
        <v>991</v>
      </c>
    </row>
    <row r="134" spans="1:9">
      <c r="A134" t="str">
        <f t="shared" si="2"/>
        <v>Overlap length</v>
      </c>
      <c r="D134" t="s">
        <v>142</v>
      </c>
      <c r="E134" t="s">
        <v>585</v>
      </c>
      <c r="F134" s="156" t="s">
        <v>907</v>
      </c>
      <c r="G134" s="156" t="s">
        <v>1082</v>
      </c>
      <c r="H134" s="156" t="s">
        <v>1083</v>
      </c>
      <c r="I134" s="156" t="s">
        <v>1084</v>
      </c>
    </row>
    <row r="135" spans="1:9" ht="25.5">
      <c r="A135" t="str">
        <f t="shared" si="2"/>
        <v>Minimum overlap length</v>
      </c>
      <c r="D135" t="s">
        <v>423</v>
      </c>
      <c r="E135" t="s">
        <v>559</v>
      </c>
      <c r="F135" s="156" t="s">
        <v>1386</v>
      </c>
      <c r="G135" s="156" t="s">
        <v>992</v>
      </c>
      <c r="H135" s="156" t="s">
        <v>993</v>
      </c>
      <c r="I135" s="156" t="s">
        <v>994</v>
      </c>
    </row>
    <row r="136" spans="1:9">
      <c r="A136" t="str">
        <f t="shared" si="2"/>
        <v>Effective length</v>
      </c>
      <c r="D136" t="s">
        <v>103</v>
      </c>
      <c r="E136" t="s">
        <v>556</v>
      </c>
      <c r="F136" s="156" t="s">
        <v>980</v>
      </c>
      <c r="G136" s="156" t="s">
        <v>981</v>
      </c>
      <c r="H136" s="156" t="s">
        <v>982</v>
      </c>
      <c r="I136" s="156" t="s">
        <v>983</v>
      </c>
    </row>
    <row r="137" spans="1:9">
      <c r="A137" t="str">
        <f t="shared" si="2"/>
        <v>Degree of utilization</v>
      </c>
      <c r="D137" t="s">
        <v>145</v>
      </c>
      <c r="E137" t="s">
        <v>558</v>
      </c>
      <c r="F137" s="156" t="s">
        <v>995</v>
      </c>
      <c r="G137" s="156" t="s">
        <v>996</v>
      </c>
      <c r="H137" s="156" t="s">
        <v>997</v>
      </c>
      <c r="I137" s="156" t="s">
        <v>998</v>
      </c>
    </row>
    <row r="138" spans="1:9" ht="25.5">
      <c r="A138" t="str">
        <f t="shared" si="2"/>
        <v>Shear and bending stiffness</v>
      </c>
      <c r="D138" s="126" t="s">
        <v>286</v>
      </c>
      <c r="E138" s="126" t="s">
        <v>586</v>
      </c>
      <c r="F138" s="198" t="s">
        <v>1085</v>
      </c>
      <c r="G138" s="198" t="s">
        <v>1086</v>
      </c>
      <c r="H138" s="198" t="s">
        <v>1087</v>
      </c>
      <c r="I138" s="198" t="s">
        <v>1088</v>
      </c>
    </row>
    <row r="139" spans="1:9">
      <c r="A139" t="str">
        <f t="shared" si="2"/>
        <v>Shear stiffness</v>
      </c>
      <c r="D139" t="s">
        <v>272</v>
      </c>
      <c r="E139" t="s">
        <v>561</v>
      </c>
      <c r="F139" s="156" t="s">
        <v>1003</v>
      </c>
      <c r="G139" s="156" t="s">
        <v>1004</v>
      </c>
      <c r="H139" s="156" t="s">
        <v>1005</v>
      </c>
      <c r="I139" s="156" t="s">
        <v>1006</v>
      </c>
    </row>
    <row r="140" spans="1:9">
      <c r="A140" t="str">
        <f t="shared" si="2"/>
        <v>first layer</v>
      </c>
      <c r="D140" t="s">
        <v>444</v>
      </c>
      <c r="E140" t="s">
        <v>288</v>
      </c>
      <c r="F140" s="156" t="s">
        <v>1089</v>
      </c>
      <c r="G140" s="156" t="s">
        <v>1090</v>
      </c>
      <c r="H140" s="156" t="s">
        <v>1091</v>
      </c>
      <c r="I140" s="156" t="s">
        <v>1092</v>
      </c>
    </row>
    <row r="141" spans="1:9">
      <c r="A141" t="str">
        <f t="shared" si="2"/>
        <v>25% thickness</v>
      </c>
      <c r="D141" t="s">
        <v>445</v>
      </c>
      <c r="E141" t="s">
        <v>587</v>
      </c>
      <c r="F141" s="156" t="s">
        <v>1093</v>
      </c>
      <c r="G141" s="156" t="s">
        <v>1094</v>
      </c>
      <c r="H141" s="156" t="s">
        <v>1095</v>
      </c>
      <c r="I141" s="156" t="s">
        <v>1096</v>
      </c>
    </row>
    <row r="142" spans="1:9">
      <c r="A142" t="str">
        <f t="shared" si="2"/>
        <v>a_t(25%)</v>
      </c>
      <c r="D142" t="s">
        <v>289</v>
      </c>
      <c r="E142" t="s">
        <v>289</v>
      </c>
      <c r="F142" s="156" t="s">
        <v>289</v>
      </c>
      <c r="G142" s="156" t="s">
        <v>289</v>
      </c>
      <c r="H142" s="156" t="s">
        <v>1097</v>
      </c>
      <c r="I142" s="156" t="s">
        <v>289</v>
      </c>
    </row>
    <row r="143" spans="1:9" ht="51">
      <c r="A143" t="str">
        <f t="shared" si="2"/>
        <v>Compressed length calculation by stiffness</v>
      </c>
      <c r="D143" t="s">
        <v>257</v>
      </c>
      <c r="E143" t="s">
        <v>588</v>
      </c>
      <c r="F143" s="156" t="s">
        <v>1387</v>
      </c>
      <c r="G143" s="156" t="s">
        <v>1098</v>
      </c>
      <c r="H143" s="156" t="s">
        <v>1099</v>
      </c>
      <c r="I143" s="156" t="s">
        <v>1100</v>
      </c>
    </row>
    <row r="144" spans="1:9">
      <c r="A144" t="str">
        <f t="shared" si="2"/>
        <v>Lever arm</v>
      </c>
      <c r="D144" t="s">
        <v>83</v>
      </c>
      <c r="E144" t="s">
        <v>570</v>
      </c>
      <c r="F144" s="156" t="s">
        <v>1375</v>
      </c>
      <c r="G144" s="156" t="s">
        <v>1038</v>
      </c>
      <c r="H144" s="156" t="s">
        <v>1039</v>
      </c>
      <c r="I144" s="156" t="s">
        <v>1040</v>
      </c>
    </row>
    <row r="145" spans="1:9">
      <c r="A145" t="str">
        <f t="shared" si="2"/>
        <v>Reference bending moment</v>
      </c>
      <c r="D145" t="s">
        <v>262</v>
      </c>
      <c r="E145" t="s">
        <v>589</v>
      </c>
      <c r="F145" s="156" t="s">
        <v>1101</v>
      </c>
      <c r="G145" s="156" t="s">
        <v>1102</v>
      </c>
      <c r="H145" s="156" t="s">
        <v>1103</v>
      </c>
      <c r="I145" s="156" t="s">
        <v>1104</v>
      </c>
    </row>
    <row r="146" spans="1:9" ht="25.5">
      <c r="A146" t="str">
        <f t="shared" si="2"/>
        <v>Reference force on screws</v>
      </c>
      <c r="D146" t="s">
        <v>416</v>
      </c>
      <c r="E146" t="s">
        <v>590</v>
      </c>
      <c r="F146" s="156" t="s">
        <v>1105</v>
      </c>
      <c r="G146" s="156" t="s">
        <v>1106</v>
      </c>
      <c r="H146" s="156" t="s">
        <v>1107</v>
      </c>
      <c r="I146" s="156" t="s">
        <v>1108</v>
      </c>
    </row>
    <row r="147" spans="1:9">
      <c r="A147" t="str">
        <f t="shared" si="2"/>
        <v>Reference width</v>
      </c>
      <c r="D147" t="s">
        <v>269</v>
      </c>
      <c r="E147" t="s">
        <v>591</v>
      </c>
      <c r="F147" s="156" t="s">
        <v>1109</v>
      </c>
      <c r="G147" s="156" t="s">
        <v>1110</v>
      </c>
      <c r="H147" s="156" t="s">
        <v>1111</v>
      </c>
      <c r="I147" s="156" t="s">
        <v>1112</v>
      </c>
    </row>
    <row r="148" spans="1:9">
      <c r="A148" t="str">
        <f t="shared" si="2"/>
        <v>Compressive stiffness</v>
      </c>
      <c r="D148" t="s">
        <v>264</v>
      </c>
      <c r="E148" t="s">
        <v>592</v>
      </c>
      <c r="F148" s="156" t="s">
        <v>1113</v>
      </c>
      <c r="G148" s="156" t="s">
        <v>1114</v>
      </c>
      <c r="H148" s="156" t="s">
        <v>1115</v>
      </c>
      <c r="I148" s="156" t="s">
        <v>1116</v>
      </c>
    </row>
    <row r="149" spans="1:9">
      <c r="A149" t="str">
        <f t="shared" si="2"/>
        <v>Axial stiffness</v>
      </c>
      <c r="D149" t="s">
        <v>271</v>
      </c>
      <c r="E149" t="s">
        <v>562</v>
      </c>
      <c r="F149" s="156" t="s">
        <v>1007</v>
      </c>
      <c r="G149" s="156" t="s">
        <v>1008</v>
      </c>
      <c r="H149" s="156" t="s">
        <v>1009</v>
      </c>
      <c r="I149" s="156" t="s">
        <v>1008</v>
      </c>
    </row>
    <row r="150" spans="1:9" ht="25.5">
      <c r="A150" t="str">
        <f t="shared" si="2"/>
        <v>Screws in tension area</v>
      </c>
      <c r="D150" t="s">
        <v>282</v>
      </c>
      <c r="E150" t="s">
        <v>593</v>
      </c>
      <c r="F150" s="156" t="s">
        <v>1388</v>
      </c>
      <c r="G150" s="156" t="s">
        <v>1117</v>
      </c>
      <c r="H150" s="156" t="s">
        <v>1118</v>
      </c>
      <c r="I150" s="156" t="s">
        <v>1119</v>
      </c>
    </row>
    <row r="151" spans="1:9" ht="25.5">
      <c r="A151" t="str">
        <f t="shared" si="2"/>
        <v>Deformation of the compressed zone</v>
      </c>
      <c r="D151" t="s">
        <v>417</v>
      </c>
      <c r="E151" t="s">
        <v>594</v>
      </c>
      <c r="F151" s="156" t="s">
        <v>1389</v>
      </c>
      <c r="G151" s="156" t="s">
        <v>1120</v>
      </c>
      <c r="H151" s="156" t="s">
        <v>1121</v>
      </c>
      <c r="I151" s="156" t="s">
        <v>1122</v>
      </c>
    </row>
    <row r="152" spans="1:9" ht="25.5">
      <c r="A152" t="str">
        <f t="shared" si="2"/>
        <v>Deformation of fasteners</v>
      </c>
      <c r="D152" t="s">
        <v>418</v>
      </c>
      <c r="E152" t="s">
        <v>595</v>
      </c>
      <c r="F152" s="156" t="s">
        <v>1123</v>
      </c>
      <c r="G152" s="156" t="s">
        <v>1124</v>
      </c>
      <c r="H152" s="156" t="s">
        <v>1125</v>
      </c>
      <c r="I152" s="156" t="s">
        <v>1126</v>
      </c>
    </row>
    <row r="153" spans="1:9" ht="25.5">
      <c r="A153" t="str">
        <f t="shared" si="2"/>
        <v>Unit angle of rotation</v>
      </c>
      <c r="D153" t="s">
        <v>284</v>
      </c>
      <c r="E153" t="s">
        <v>596</v>
      </c>
      <c r="F153" s="156" t="s">
        <v>1127</v>
      </c>
      <c r="G153" s="156" t="s">
        <v>1128</v>
      </c>
      <c r="H153" s="156" t="s">
        <v>1129</v>
      </c>
      <c r="I153" s="156" t="s">
        <v>1130</v>
      </c>
    </row>
    <row r="154" spans="1:9">
      <c r="A154" t="str">
        <f t="shared" si="2"/>
        <v>Rotational stiffness (*)</v>
      </c>
      <c r="D154" t="s">
        <v>653</v>
      </c>
      <c r="E154" t="s">
        <v>654</v>
      </c>
      <c r="F154" s="156" t="s">
        <v>1010</v>
      </c>
      <c r="G154" s="156" t="s">
        <v>1011</v>
      </c>
      <c r="H154" s="156" t="s">
        <v>1012</v>
      </c>
      <c r="I154" s="156" t="s">
        <v>1011</v>
      </c>
    </row>
    <row r="155" spans="1:9">
      <c r="A155" t="str">
        <f t="shared" si="2"/>
        <v>editable cells</v>
      </c>
      <c r="D155" s="152" t="s">
        <v>394</v>
      </c>
      <c r="E155" s="152" t="s">
        <v>597</v>
      </c>
      <c r="F155" s="199" t="s">
        <v>1131</v>
      </c>
      <c r="G155" s="199" t="s">
        <v>1132</v>
      </c>
      <c r="H155" s="199" t="s">
        <v>1133</v>
      </c>
      <c r="I155" s="199" t="s">
        <v>1134</v>
      </c>
    </row>
    <row r="156" spans="1:9" ht="38.25">
      <c r="A156" t="str">
        <f t="shared" si="2"/>
        <v>Distance of the low screw line from the edge CLT</v>
      </c>
      <c r="D156" t="s">
        <v>446</v>
      </c>
      <c r="E156" t="s">
        <v>598</v>
      </c>
      <c r="F156" s="156" t="s">
        <v>1390</v>
      </c>
      <c r="G156" s="156" t="s">
        <v>1135</v>
      </c>
      <c r="H156" s="156" t="s">
        <v>1136</v>
      </c>
      <c r="I156" s="156" t="s">
        <v>1137</v>
      </c>
    </row>
    <row r="157" spans="1:9">
      <c r="A157" t="str">
        <f t="shared" si="2"/>
        <v>Board</v>
      </c>
      <c r="D157" t="s">
        <v>377</v>
      </c>
      <c r="E157" t="s">
        <v>599</v>
      </c>
      <c r="F157" s="156" t="s">
        <v>1391</v>
      </c>
      <c r="G157" s="156" t="s">
        <v>1138</v>
      </c>
      <c r="H157" s="156" t="s">
        <v>1139</v>
      </c>
      <c r="I157" s="156" t="s">
        <v>1140</v>
      </c>
    </row>
    <row r="158" spans="1:9" ht="25.5">
      <c r="A158" t="str">
        <f t="shared" si="2"/>
        <v>Longitudinal bar position</v>
      </c>
      <c r="D158" t="s">
        <v>378</v>
      </c>
      <c r="E158" t="s">
        <v>600</v>
      </c>
      <c r="F158" s="156" t="s">
        <v>1141</v>
      </c>
      <c r="G158" s="156" t="s">
        <v>1142</v>
      </c>
      <c r="H158" s="156" t="s">
        <v>1143</v>
      </c>
      <c r="I158" s="156" t="s">
        <v>1144</v>
      </c>
    </row>
    <row r="159" spans="1:9" ht="25.5">
      <c r="A159" t="str">
        <f t="shared" si="2"/>
        <v>Longitudinal bar (1/2 dia.)</v>
      </c>
      <c r="D159" t="s">
        <v>379</v>
      </c>
      <c r="E159" t="s">
        <v>601</v>
      </c>
      <c r="F159" s="156" t="s">
        <v>1145</v>
      </c>
      <c r="G159" s="156" t="s">
        <v>1146</v>
      </c>
      <c r="H159" s="156" t="s">
        <v>1147</v>
      </c>
      <c r="I159" s="156" t="s">
        <v>1148</v>
      </c>
    </row>
    <row r="160" spans="1:9" ht="25.5">
      <c r="A160" t="str">
        <f t="shared" si="2"/>
        <v>Tolerance on stirrup curvature</v>
      </c>
      <c r="D160" s="166" t="s">
        <v>375</v>
      </c>
      <c r="E160" s="166" t="s">
        <v>646</v>
      </c>
      <c r="F160" s="196" t="s">
        <v>1149</v>
      </c>
      <c r="G160" s="196" t="s">
        <v>1150</v>
      </c>
      <c r="H160" s="196" t="s">
        <v>1151</v>
      </c>
      <c r="I160" s="196" t="s">
        <v>1152</v>
      </c>
    </row>
    <row r="161" spans="1:9" ht="25.5">
      <c r="A161" t="str">
        <f t="shared" si="2"/>
        <v>Screw (1/2 dia.)</v>
      </c>
      <c r="D161" t="s">
        <v>380</v>
      </c>
      <c r="E161" t="s">
        <v>602</v>
      </c>
      <c r="F161" s="156" t="s">
        <v>1153</v>
      </c>
      <c r="G161" s="156" t="s">
        <v>1154</v>
      </c>
      <c r="H161" s="156" t="s">
        <v>1155</v>
      </c>
      <c r="I161" s="156" t="s">
        <v>1156</v>
      </c>
    </row>
    <row r="162" spans="1:9">
      <c r="A162" t="str">
        <f t="shared" si="2"/>
        <v>editable cells</v>
      </c>
      <c r="D162" s="152" t="s">
        <v>394</v>
      </c>
      <c r="E162" s="152" t="s">
        <v>597</v>
      </c>
      <c r="F162" s="199" t="s">
        <v>1131</v>
      </c>
      <c r="G162" s="199" t="s">
        <v>1132</v>
      </c>
      <c r="H162" s="199" t="s">
        <v>1133</v>
      </c>
      <c r="I162" s="199" t="s">
        <v>1134</v>
      </c>
    </row>
    <row r="163" spans="1:9" ht="25.5">
      <c r="A163" t="str">
        <f t="shared" si="2"/>
        <v>Minimum required bars cover [mm]</v>
      </c>
      <c r="D163" t="s">
        <v>381</v>
      </c>
      <c r="E163" t="s">
        <v>603</v>
      </c>
      <c r="F163" s="156" t="s">
        <v>1157</v>
      </c>
      <c r="G163" s="156" t="s">
        <v>1158</v>
      </c>
      <c r="H163" s="156" t="s">
        <v>1159</v>
      </c>
      <c r="I163" s="156" t="s">
        <v>1160</v>
      </c>
    </row>
    <row r="164" spans="1:9" ht="25.5">
      <c r="A164" t="str">
        <f t="shared" si="2"/>
        <v>Environmental exposure class</v>
      </c>
      <c r="D164" t="s">
        <v>384</v>
      </c>
      <c r="E164" t="s">
        <v>526</v>
      </c>
      <c r="F164" s="156" t="s">
        <v>865</v>
      </c>
      <c r="G164" s="156" t="s">
        <v>866</v>
      </c>
      <c r="H164" s="156" t="s">
        <v>867</v>
      </c>
      <c r="I164" s="156" t="s">
        <v>868</v>
      </c>
    </row>
    <row r="165" spans="1:9">
      <c r="A165" t="str">
        <f t="shared" si="2"/>
        <v>Structural class</v>
      </c>
      <c r="D165" t="s">
        <v>48</v>
      </c>
      <c r="E165" t="s">
        <v>604</v>
      </c>
      <c r="F165" s="156" t="s">
        <v>1161</v>
      </c>
      <c r="G165" s="156" t="s">
        <v>1162</v>
      </c>
      <c r="H165" s="156" t="s">
        <v>1163</v>
      </c>
      <c r="I165" s="156" t="s">
        <v>1164</v>
      </c>
    </row>
    <row r="166" spans="1:9" ht="25.5">
      <c r="A166" t="str">
        <f t="shared" si="2"/>
        <v>Minimum stirrups cover</v>
      </c>
      <c r="D166" t="s">
        <v>390</v>
      </c>
      <c r="E166" t="s">
        <v>645</v>
      </c>
      <c r="F166" s="156" t="s">
        <v>1165</v>
      </c>
      <c r="G166" s="156" t="s">
        <v>1166</v>
      </c>
      <c r="H166" s="156" t="s">
        <v>1167</v>
      </c>
      <c r="I166" s="156" t="s">
        <v>872</v>
      </c>
    </row>
    <row r="167" spans="1:9" ht="38.25">
      <c r="A167" t="str">
        <f t="shared" si="2"/>
        <v>Minimum longitudinal bars cover</v>
      </c>
      <c r="D167" t="s">
        <v>391</v>
      </c>
      <c r="E167" t="s">
        <v>527</v>
      </c>
      <c r="F167" s="156" t="s">
        <v>1168</v>
      </c>
      <c r="G167" s="156" t="s">
        <v>1169</v>
      </c>
      <c r="H167" s="156" t="s">
        <v>1170</v>
      </c>
      <c r="I167" s="156" t="s">
        <v>875</v>
      </c>
    </row>
    <row r="168" spans="1:9" ht="38.25">
      <c r="A168" t="str">
        <f t="shared" si="2"/>
        <v>Distance from the axis of the longitudinal bars</v>
      </c>
      <c r="D168" t="s">
        <v>392</v>
      </c>
      <c r="E168" t="s">
        <v>605</v>
      </c>
      <c r="F168" s="156" t="s">
        <v>1171</v>
      </c>
      <c r="G168" s="156" t="s">
        <v>1172</v>
      </c>
      <c r="H168" s="156" t="s">
        <v>1173</v>
      </c>
      <c r="I168" s="156" t="s">
        <v>1174</v>
      </c>
    </row>
    <row r="169" spans="1:9">
      <c r="A169" t="str">
        <f t="shared" si="2"/>
        <v>editable cells</v>
      </c>
      <c r="D169" s="152" t="s">
        <v>394</v>
      </c>
      <c r="E169" s="152" t="s">
        <v>597</v>
      </c>
      <c r="F169" s="199" t="s">
        <v>1131</v>
      </c>
      <c r="G169" s="199" t="s">
        <v>1132</v>
      </c>
      <c r="H169" s="199" t="s">
        <v>1133</v>
      </c>
      <c r="I169" s="199" t="s">
        <v>1134</v>
      </c>
    </row>
    <row r="170" spans="1:9">
      <c r="A170" t="str">
        <f t="shared" si="2"/>
        <v>Pannels</v>
      </c>
      <c r="D170" t="s">
        <v>3</v>
      </c>
      <c r="E170" t="s">
        <v>606</v>
      </c>
      <c r="F170" s="156" t="s">
        <v>1175</v>
      </c>
      <c r="G170" s="156" t="s">
        <v>1176</v>
      </c>
      <c r="H170" s="156" t="s">
        <v>1177</v>
      </c>
      <c r="I170" s="156" t="s">
        <v>1178</v>
      </c>
    </row>
    <row r="171" spans="1:9">
      <c r="A171" t="str">
        <f t="shared" si="2"/>
        <v>editable cells</v>
      </c>
      <c r="D171" s="152" t="s">
        <v>394</v>
      </c>
      <c r="E171" s="152" t="s">
        <v>597</v>
      </c>
      <c r="F171" s="199" t="s">
        <v>1131</v>
      </c>
      <c r="G171" s="199" t="s">
        <v>1132</v>
      </c>
      <c r="H171" s="199" t="s">
        <v>1133</v>
      </c>
      <c r="I171" s="199" t="s">
        <v>1134</v>
      </c>
    </row>
    <row r="172" spans="1:9">
      <c r="A172" t="str">
        <f t="shared" si="2"/>
        <v>timber connection coeff.</v>
      </c>
      <c r="D172" t="s">
        <v>397</v>
      </c>
      <c r="E172" t="s">
        <v>607</v>
      </c>
      <c r="F172" s="156" t="s">
        <v>1179</v>
      </c>
      <c r="G172" s="156" t="s">
        <v>1180</v>
      </c>
      <c r="H172" s="156" t="s">
        <v>1181</v>
      </c>
      <c r="I172" s="156" t="s">
        <v>1182</v>
      </c>
    </row>
    <row r="173" spans="1:9">
      <c r="A173" t="str">
        <f t="shared" si="2"/>
        <v>steel material coeff.</v>
      </c>
      <c r="D173" t="s">
        <v>395</v>
      </c>
      <c r="E173" t="s">
        <v>608</v>
      </c>
      <c r="F173" s="156" t="s">
        <v>1183</v>
      </c>
      <c r="G173" s="156" t="s">
        <v>1184</v>
      </c>
      <c r="H173" s="156" t="s">
        <v>1185</v>
      </c>
      <c r="I173" s="156" t="s">
        <v>1186</v>
      </c>
    </row>
    <row r="174" spans="1:9">
      <c r="A174" t="str">
        <f t="shared" si="2"/>
        <v>concrete material coeff.</v>
      </c>
      <c r="D174" t="s">
        <v>396</v>
      </c>
      <c r="E174" t="s">
        <v>609</v>
      </c>
      <c r="F174" s="156" t="s">
        <v>1187</v>
      </c>
      <c r="G174" s="156" t="s">
        <v>1188</v>
      </c>
      <c r="H174" s="156" t="s">
        <v>1189</v>
      </c>
      <c r="I174" s="156" t="s">
        <v>1190</v>
      </c>
    </row>
    <row r="175" spans="1:9" ht="25.5">
      <c r="A175" t="str">
        <f t="shared" si="2"/>
        <v>AXIAL CAPACITY - CONCRETE</v>
      </c>
      <c r="D175" t="s">
        <v>447</v>
      </c>
      <c r="E175" t="s">
        <v>610</v>
      </c>
      <c r="F175" s="156" t="s">
        <v>1191</v>
      </c>
      <c r="G175" s="156" t="s">
        <v>1192</v>
      </c>
      <c r="H175" s="156" t="s">
        <v>1193</v>
      </c>
      <c r="I175" s="156" t="s">
        <v>1194</v>
      </c>
    </row>
    <row r="176" spans="1:9" ht="25.5">
      <c r="A176" t="str">
        <f t="shared" si="2"/>
        <v>AXIAL CAPACITY - TIMBER</v>
      </c>
      <c r="D176" t="s">
        <v>448</v>
      </c>
      <c r="E176" t="s">
        <v>611</v>
      </c>
      <c r="F176" s="156" t="s">
        <v>1195</v>
      </c>
      <c r="G176" s="156" t="s">
        <v>1196</v>
      </c>
      <c r="H176" s="156" t="s">
        <v>1197</v>
      </c>
      <c r="I176" s="156" t="s">
        <v>1198</v>
      </c>
    </row>
    <row r="177" spans="1:9" ht="25.5">
      <c r="A177" t="str">
        <f t="shared" si="2"/>
        <v>SHEAR CAPACITY - TIMBER</v>
      </c>
      <c r="D177" t="s">
        <v>449</v>
      </c>
      <c r="E177" t="s">
        <v>612</v>
      </c>
      <c r="F177" s="156" t="s">
        <v>1199</v>
      </c>
      <c r="G177" s="156" t="s">
        <v>1200</v>
      </c>
      <c r="H177" s="156" t="s">
        <v>1201</v>
      </c>
      <c r="I177" s="156" t="s">
        <v>1202</v>
      </c>
    </row>
    <row r="178" spans="1:9" ht="25.5">
      <c r="A178" t="str">
        <f t="shared" si="2"/>
        <v>SHEAR CAPACITY - STEEL</v>
      </c>
      <c r="D178" t="s">
        <v>450</v>
      </c>
      <c r="E178" t="s">
        <v>613</v>
      </c>
      <c r="F178" s="156" t="s">
        <v>1203</v>
      </c>
      <c r="G178" s="156" t="s">
        <v>1204</v>
      </c>
      <c r="H178" s="156" t="s">
        <v>1205</v>
      </c>
      <c r="I178" s="156" t="s">
        <v>1206</v>
      </c>
    </row>
    <row r="179" spans="1:9" ht="25.5">
      <c r="A179" t="str">
        <f t="shared" si="2"/>
        <v>Lateral stiffness for single screw</v>
      </c>
      <c r="D179" t="s">
        <v>451</v>
      </c>
      <c r="E179" t="s">
        <v>614</v>
      </c>
      <c r="F179" s="156" t="s">
        <v>1207</v>
      </c>
      <c r="G179" s="156" t="s">
        <v>1208</v>
      </c>
      <c r="H179" s="156" t="s">
        <v>1209</v>
      </c>
      <c r="I179" s="156" t="s">
        <v>1210</v>
      </c>
    </row>
    <row r="180" spans="1:9">
      <c r="A180" t="str">
        <f t="shared" si="2"/>
        <v>NOTES</v>
      </c>
      <c r="D180" s="153" t="s">
        <v>452</v>
      </c>
      <c r="E180" s="153" t="s">
        <v>615</v>
      </c>
      <c r="F180" s="200" t="s">
        <v>1211</v>
      </c>
      <c r="G180" s="200" t="s">
        <v>1212</v>
      </c>
      <c r="H180" s="200" t="s">
        <v>615</v>
      </c>
      <c r="I180" s="200" t="s">
        <v>1212</v>
      </c>
    </row>
    <row r="181" spans="1:9" ht="76.5">
      <c r="A181" t="str">
        <f t="shared" si="2"/>
        <v>Before the construction, all calculation must be verified and approved by the responsible designer.</v>
      </c>
      <c r="D181" t="s">
        <v>453</v>
      </c>
      <c r="E181" t="s">
        <v>616</v>
      </c>
      <c r="F181" s="156" t="s">
        <v>1213</v>
      </c>
      <c r="G181" s="156" t="s">
        <v>1214</v>
      </c>
      <c r="H181" s="156" t="s">
        <v>1215</v>
      </c>
      <c r="I181" s="156" t="s">
        <v>1216</v>
      </c>
    </row>
    <row r="182" spans="1:9" ht="63.75">
      <c r="A182" t="str">
        <f t="shared" si="2"/>
        <v>Mechanical resistance values and geometry refer to product certification.</v>
      </c>
      <c r="D182" t="s">
        <v>454</v>
      </c>
      <c r="E182" t="s">
        <v>617</v>
      </c>
      <c r="F182" s="156" t="s">
        <v>1217</v>
      </c>
      <c r="G182" s="156" t="s">
        <v>1218</v>
      </c>
      <c r="H182" s="156" t="s">
        <v>1219</v>
      </c>
      <c r="I182" s="156" t="s">
        <v>1220</v>
      </c>
    </row>
    <row r="183" spans="1:9" ht="102">
      <c r="A183" t="str">
        <f t="shared" si="2"/>
        <v>Verification of concrete side anchoring system capacity must be carried out separately following ETA-22/0806 - Annex E1.</v>
      </c>
      <c r="D183" t="s">
        <v>659</v>
      </c>
      <c r="E183" t="s">
        <v>658</v>
      </c>
      <c r="F183" s="156" t="s">
        <v>1221</v>
      </c>
      <c r="G183" s="156" t="s">
        <v>1222</v>
      </c>
      <c r="H183" s="156" t="s">
        <v>1223</v>
      </c>
      <c r="I183" s="156" t="s">
        <v>1224</v>
      </c>
    </row>
    <row r="184" spans="1:9" ht="229.5">
      <c r="A184" t="str">
        <f t="shared" si="2"/>
        <v>All calculations must be verified and approved by the responsible designer prior to execution. The designer are responsible to verify, at each use, the conformity of the data to the regulations in force and to the project. The ultimate responsibility for choosing the appropriate product for a specific application lies with the designer.</v>
      </c>
      <c r="D184" t="s">
        <v>455</v>
      </c>
      <c r="E184" t="s">
        <v>618</v>
      </c>
      <c r="F184" s="156" t="s">
        <v>1225</v>
      </c>
      <c r="G184" s="156" t="s">
        <v>1226</v>
      </c>
      <c r="H184" s="156" t="s">
        <v>1227</v>
      </c>
      <c r="I184" s="156" t="s">
        <v>1228</v>
      </c>
    </row>
    <row r="185" spans="1:9" ht="409.5">
      <c r="A185" t="str">
        <f t="shared" si="2"/>
        <v>The results obtained in this sheet are of an indicative nature and should be considered as a technical-commercial service within the Rotho Blaas srl sales activity. The number and thickness of the inserts must be determined by the responsible designer who is required to check the accuracy of the results deriving from the processing of the data entered. Rotho Blaas srl does not guarantee compliance with current legislation and the design of the calculations made through this spreadsheet. In particular, following the amendment of the pertinent provisions such as, for example standards, approvals, etc. the program may become, in part or in whole, invalid. Rotho Blaas srl does not guarantee and will not be responsible for direct or indirect damages or consequences or other, in any way (warranty for defects, warranty for malfunction, product or legal responsibility, etc.). The User declares to use the spreadsheet as a professional with the obligation and responsibility to verify that the spreadsheet meets his specific needs.</v>
      </c>
      <c r="D185" t="s">
        <v>456</v>
      </c>
      <c r="E185" t="s">
        <v>619</v>
      </c>
      <c r="F185" s="156" t="s">
        <v>1229</v>
      </c>
      <c r="G185" s="156" t="s">
        <v>1230</v>
      </c>
      <c r="H185" s="156" t="s">
        <v>1231</v>
      </c>
      <c r="I185" s="156" t="s">
        <v>1232</v>
      </c>
    </row>
    <row r="186" spans="1:9">
      <c r="A186" t="str">
        <f t="shared" si="2"/>
        <v>(concrete beam bending)</v>
      </c>
      <c r="D186" t="s">
        <v>1401</v>
      </c>
      <c r="E186" t="s">
        <v>1402</v>
      </c>
      <c r="F186" t="s">
        <v>1403</v>
      </c>
      <c r="G186" t="s">
        <v>1404</v>
      </c>
      <c r="H186" t="s">
        <v>1405</v>
      </c>
      <c r="I186" t="s">
        <v>1406</v>
      </c>
    </row>
    <row r="187" spans="1:9" s="169" customFormat="1">
      <c r="F187" s="201"/>
      <c r="G187" s="201"/>
      <c r="H187" s="201"/>
      <c r="I187" s="201"/>
    </row>
    <row r="189" spans="1:9">
      <c r="A189" t="s">
        <v>389</v>
      </c>
      <c r="B189" s="168" t="str">
        <f>CONDITIONS!E3</f>
        <v>EN</v>
      </c>
      <c r="D189" s="167" t="s">
        <v>358</v>
      </c>
      <c r="E189" s="167" t="s">
        <v>388</v>
      </c>
      <c r="F189" s="194" t="s">
        <v>671</v>
      </c>
      <c r="G189" s="194" t="s">
        <v>672</v>
      </c>
      <c r="H189" s="194" t="s">
        <v>673</v>
      </c>
      <c r="I189" s="194" t="s">
        <v>674</v>
      </c>
    </row>
    <row r="190" spans="1:9" ht="102">
      <c r="A190" t="str">
        <f>IF($B$189=$D$189,D190,IF($B$189=$E$189,E190,IF($B$189=$F$189,F190,IF($B$189=$G$189,G190,IF($B$189=$H$189,H190,IF($B$189=$I$189,I190,"ERROR"))))))</f>
        <v>GENERAL TERMS AND CONDITIONS OF THE LICENSE AGREEMENT FOR THE USE OF THE SPREADSHEET "TC_FUSION_CALCULATOR"</v>
      </c>
      <c r="D190" t="s">
        <v>479</v>
      </c>
      <c r="E190" t="s">
        <v>1433</v>
      </c>
      <c r="F190" s="156" t="s">
        <v>1233</v>
      </c>
      <c r="G190" s="156" t="s">
        <v>1234</v>
      </c>
      <c r="H190" s="156" t="s">
        <v>1235</v>
      </c>
      <c r="I190" s="156" t="s">
        <v>1236</v>
      </c>
    </row>
    <row r="191" spans="1:9">
      <c r="A191" t="str">
        <f t="shared" ref="A191:A216" si="3">IF($B$189=$D$189,D191,IF($B$189=$E$189,E191,IF($B$189=$F$189,F191,IF($B$189=$G$189,G191,IF($B$189=$H$189,H191,IF($B$189=$I$189,I191,"ERROR"))))))</f>
        <v>1. SUBJECT</v>
      </c>
      <c r="D191" s="154" t="s">
        <v>457</v>
      </c>
      <c r="E191" s="154" t="s">
        <v>641</v>
      </c>
      <c r="F191" s="193" t="s">
        <v>1237</v>
      </c>
      <c r="G191" s="193" t="s">
        <v>1238</v>
      </c>
      <c r="H191" s="193" t="s">
        <v>1239</v>
      </c>
      <c r="I191" s="193" t="s">
        <v>1238</v>
      </c>
    </row>
    <row r="192" spans="1:9" ht="409.5">
      <c r="A192" t="str">
        <f t="shared" si="3"/>
        <v>With these General Terms and Conditions (or "Agreement"), ROTHO BLAAS SRL, with registered office at I-39040 Cortaccia (BZ), Via dell'Adige 2/1 (hereinafter "RB") grants the user the non-exclusive and revocable right to use the spreadsheet (hereinafter "XLS") free of charge under the following conditions and during the term of this Agreement.
In any case, RB does not guarantee the legal and design conformity of the calculations, as RB intends to provide only an indicative calculation tool to be considered as a technical-commercial service within the sales activity.
XLS allows the user to perform static calculations only for the products and materials indicated in each of its sections. This Agreement expressly prohibits to use XLS to manufacture products that are not indicated.
This Agreement therefore governs the relationship between the User and RB with respect to the use of this spreadsheet. By downloading and using XLS, the user accepts this Agreement and the conditions set out herein.</v>
      </c>
      <c r="D192" s="154" t="s">
        <v>458</v>
      </c>
      <c r="E192" s="154" t="s">
        <v>621</v>
      </c>
      <c r="F192" s="193" t="s">
        <v>1240</v>
      </c>
      <c r="G192" s="193" t="s">
        <v>1241</v>
      </c>
      <c r="H192" s="193" t="s">
        <v>1242</v>
      </c>
      <c r="I192" s="193" t="s">
        <v>1243</v>
      </c>
    </row>
    <row r="193" spans="1:9" ht="25.5">
      <c r="A193" t="str">
        <f t="shared" si="3"/>
        <v>2. TECHNICAL-STANDARDS REFERENCES</v>
      </c>
      <c r="D193" s="154" t="s">
        <v>459</v>
      </c>
      <c r="E193" s="154" t="s">
        <v>622</v>
      </c>
      <c r="F193" s="193" t="s">
        <v>1244</v>
      </c>
      <c r="G193" s="193" t="s">
        <v>1245</v>
      </c>
      <c r="H193" s="193" t="s">
        <v>1246</v>
      </c>
      <c r="I193" s="193" t="s">
        <v>1247</v>
      </c>
    </row>
    <row r="194" spans="1:9" ht="255">
      <c r="A194" t="str">
        <f t="shared" si="3"/>
        <v>RB carried out the checks according to the Limit State method in accordance with EN 1995-1-1 Eurocode 5 - Design of timber structures and EN 1992-1-1 Eurocode 2 - Design of concrete structures. For the mechanical resistance values and the geometry of the connectors, reference was made to ETA-22/0806.</v>
      </c>
      <c r="D194" s="154" t="s">
        <v>647</v>
      </c>
      <c r="E194" s="154" t="s">
        <v>648</v>
      </c>
      <c r="F194" s="193" t="s">
        <v>1248</v>
      </c>
      <c r="G194" s="193" t="s">
        <v>1249</v>
      </c>
      <c r="H194" s="193" t="s">
        <v>1250</v>
      </c>
      <c r="I194" s="193" t="s">
        <v>1251</v>
      </c>
    </row>
    <row r="195" spans="1:9" ht="25.5">
      <c r="A195" t="str">
        <f t="shared" si="3"/>
        <v>3. RB RIGHTS AND OBLIGATIONS</v>
      </c>
      <c r="D195" s="154" t="s">
        <v>460</v>
      </c>
      <c r="E195" s="154" t="s">
        <v>623</v>
      </c>
      <c r="F195" s="193" t="s">
        <v>1252</v>
      </c>
      <c r="G195" s="193" t="s">
        <v>1253</v>
      </c>
      <c r="H195" s="193" t="s">
        <v>1254</v>
      </c>
      <c r="I195" s="193" t="s">
        <v>1255</v>
      </c>
    </row>
    <row r="196" spans="1:9" ht="409.5">
      <c r="A196" t="str">
        <f t="shared" si="3"/>
        <v>RB:
a) makes available XLS to the User free of charge, as it is;
b) does not provide the user with any technical support for using XLS;
c) does not guarantee that XLS complies with the regulations in force or with the calculations design made using it. In particular, as a result of changes to the relevant provisions, such as standards, approvals, etc., the spreadsheet may become invalid in part or in full.
d) while reserving the right to update, revise and develop XLS, RB does not assume any obligation towards the user to verify, correct, complete or update the spreadsheet and/or make the updates available to the user.</v>
      </c>
      <c r="D196" s="154" t="s">
        <v>461</v>
      </c>
      <c r="E196" s="154" t="s">
        <v>624</v>
      </c>
      <c r="F196" s="193" t="s">
        <v>1256</v>
      </c>
      <c r="G196" s="193" t="s">
        <v>1257</v>
      </c>
      <c r="H196" s="193" t="s">
        <v>1258</v>
      </c>
      <c r="I196" s="193" t="s">
        <v>1259</v>
      </c>
    </row>
    <row r="197" spans="1:9" ht="38.25">
      <c r="A197" t="str">
        <f t="shared" si="3"/>
        <v>4. USER RIGHTS AND OBLIGATIONS</v>
      </c>
      <c r="D197" s="154" t="s">
        <v>462</v>
      </c>
      <c r="E197" s="154" t="s">
        <v>625</v>
      </c>
      <c r="F197" s="193" t="s">
        <v>1260</v>
      </c>
      <c r="G197" s="193" t="s">
        <v>1261</v>
      </c>
      <c r="H197" s="193" t="s">
        <v>1262</v>
      </c>
      <c r="I197" s="193" t="s">
        <v>1263</v>
      </c>
    </row>
    <row r="198" spans="1:9" ht="409.5">
      <c r="A198" t="str">
        <f t="shared" si="3"/>
        <v>The User declares to use the spreadsheet as a professional excluding any use as a consumer, and to always comply with the following obligations and prohibitions:
a) obligation and responsibility to verify that XLS meets the specific needs and that it is compatible with the hardware-software-systems;
b) obligation to verify, for each use, the compliance of the calculations made through XLS to the regulations in force and to the project;
c) obligation to verify the legal compliance of the calculations made through the Software;
d) obligation to use the latest version of XLS made available by the RB contact person, checking at each use for any updates that have occurred;
e) prohibition to use XLS for products not indicated in each calculation section;
f) obligation to use updated antivirus software that complies with the industry standard in force;
g) obligation not to assign the licence to use XLS to third parties and/or in any other way transfer, pledge or lease, rent or share with others or sublicense the rights to use the spreadsheet;
h) prohibition to modify or vary XLS in any way, including through third parties.
The user commits himself to ask the RB contact person for the last version of the XLS.</v>
      </c>
      <c r="D198" s="154" t="s">
        <v>463</v>
      </c>
      <c r="E198" s="154" t="s">
        <v>626</v>
      </c>
      <c r="F198" s="193" t="s">
        <v>1264</v>
      </c>
      <c r="G198" s="193" t="s">
        <v>1265</v>
      </c>
      <c r="H198" s="193" t="s">
        <v>1266</v>
      </c>
      <c r="I198" s="193" t="s">
        <v>1267</v>
      </c>
    </row>
    <row r="199" spans="1:9">
      <c r="A199" t="str">
        <f t="shared" si="3"/>
        <v>5. COPYRIGHTS</v>
      </c>
      <c r="D199" s="154" t="s">
        <v>464</v>
      </c>
      <c r="E199" s="154" t="s">
        <v>627</v>
      </c>
      <c r="F199" s="193" t="s">
        <v>1268</v>
      </c>
      <c r="G199" s="193" t="s">
        <v>1269</v>
      </c>
      <c r="H199" s="193" t="s">
        <v>1270</v>
      </c>
      <c r="I199" s="193" t="s">
        <v>1271</v>
      </c>
    </row>
    <row r="200" spans="1:9" ht="280.5">
      <c r="A200" t="str">
        <f t="shared" si="3"/>
        <v>The copyrights on the formulations referred to in the spreadsheet and all the intellectual and industrial property rights underlying them (such as, but not limited to: trademarks, patents, trade secrets, know-how, confidential information) are and remain the exclusive property of RB. 
This agreement does not transfer any of the above rights to the user.</v>
      </c>
      <c r="D200" s="154" t="s">
        <v>465</v>
      </c>
      <c r="E200" s="154" t="s">
        <v>628</v>
      </c>
      <c r="F200" s="193" t="s">
        <v>1272</v>
      </c>
      <c r="G200" s="193" t="s">
        <v>1273</v>
      </c>
      <c r="H200" s="193" t="s">
        <v>1274</v>
      </c>
      <c r="I200" s="193" t="s">
        <v>1275</v>
      </c>
    </row>
    <row r="201" spans="1:9" ht="38.25">
      <c r="A201" t="str">
        <f t="shared" si="3"/>
        <v>6. DURATION, WITHDRAWAL AND TERMINATION</v>
      </c>
      <c r="D201" s="154" t="s">
        <v>466</v>
      </c>
      <c r="E201" s="154" t="s">
        <v>629</v>
      </c>
      <c r="F201" s="193" t="s">
        <v>1276</v>
      </c>
      <c r="G201" s="193" t="s">
        <v>1277</v>
      </c>
      <c r="H201" s="193" t="s">
        <v>1278</v>
      </c>
      <c r="I201" s="193" t="s">
        <v>1279</v>
      </c>
    </row>
    <row r="202" spans="1:9" ht="409.5">
      <c r="A202" t="str">
        <f t="shared" si="3"/>
        <v>These general conditions and, consequently, the licence to use the spreadsheet, are valid from the moment of downloading it until the termination of its use.
The user may withdraw from this Agreement at any time by deleting the XLS and all copies from its systems.
RB may withdraw from this Agreement and deactivate the service in the event of a breach of any of the provisions governing the license of use. In the event that RB notifies its termination, the user shall remove the spreadsheet and any copies thereof from its systems.</v>
      </c>
      <c r="D202" s="154" t="s">
        <v>467</v>
      </c>
      <c r="E202" s="154" t="s">
        <v>630</v>
      </c>
      <c r="F202" s="193" t="s">
        <v>1280</v>
      </c>
      <c r="G202" s="193" t="s">
        <v>1281</v>
      </c>
      <c r="H202" s="193" t="s">
        <v>1282</v>
      </c>
      <c r="I202" s="193" t="s">
        <v>1283</v>
      </c>
    </row>
    <row r="203" spans="1:9">
      <c r="A203" t="str">
        <f t="shared" si="3"/>
        <v>7. RESPONSIBILITY</v>
      </c>
      <c r="D203" s="154" t="s">
        <v>468</v>
      </c>
      <c r="E203" s="154" t="s">
        <v>631</v>
      </c>
      <c r="F203" s="193" t="s">
        <v>1284</v>
      </c>
      <c r="G203" s="193" t="s">
        <v>1285</v>
      </c>
      <c r="H203" s="193" t="s">
        <v>1286</v>
      </c>
      <c r="I203" s="193" t="s">
        <v>1287</v>
      </c>
    </row>
    <row r="204" spans="1:9" ht="409.5">
      <c r="A204" t="str">
        <f t="shared" si="3"/>
        <v>The user is solely responsible for the use of XLS, including, but not limited to, all calculations, printouts, export data made with it and/or for entry errors, protection of data files and maintenance and in general for any use of the spreadsheet.
RB does not guarantee and in no case can be held responsible for damages, losses and costs or other consequences, for any reason (warranty for defects, warranty for malfunction, product or legal responsibility, etc.) deriving from:
•   use of XLS, calculations made, compliance with current legislation, with the design or other User needs;
•   hardware and software compatibility, viruses, malfunctions, defects, errors or gaps;
•   failure to update the spreadsheet and/or interruption of the availability of the spreadsheet and/or termination of the agreement for any reason;
•   infringement of intellectual property rights of third parties.
The user confirms to have understood and accepted the disclaimers and limitations of liability and claim of this Agreement. The user also confirms that the spreadsheet is available for free, that the exclusions and limitations are fundamental elements of this Agreement and that RB does not make its spreadsheet available to the user if the exclusions or limitations are deleted or modified in favour of the user.</v>
      </c>
      <c r="D204" s="154" t="s">
        <v>469</v>
      </c>
      <c r="E204" s="154" t="s">
        <v>632</v>
      </c>
      <c r="F204" s="193" t="s">
        <v>1288</v>
      </c>
      <c r="G204" s="193" t="s">
        <v>1289</v>
      </c>
      <c r="H204" s="193" t="s">
        <v>1290</v>
      </c>
      <c r="I204" s="193" t="s">
        <v>1291</v>
      </c>
    </row>
    <row r="205" spans="1:9">
      <c r="A205" t="str">
        <f t="shared" si="3"/>
        <v>8. REFUND</v>
      </c>
      <c r="D205" s="154" t="s">
        <v>470</v>
      </c>
      <c r="E205" s="154" t="s">
        <v>633</v>
      </c>
      <c r="F205" s="193" t="s">
        <v>1292</v>
      </c>
      <c r="G205" s="193" t="s">
        <v>1293</v>
      </c>
      <c r="H205" s="193" t="s">
        <v>1294</v>
      </c>
      <c r="I205" s="193" t="s">
        <v>1293</v>
      </c>
    </row>
    <row r="206" spans="1:9" ht="369.75">
      <c r="A206" t="str">
        <f t="shared" si="3"/>
        <v>The user agrees to indemnify and hold harmless RB, its subsidiaries and its or its officers, directors, employees, successors and appointees (each individually, ""Beneficiary"", collectively, the ""Beneficiaries"") for the costs incurred in relation to claims made by third parties for damages or losses deriving from the use of the spreadsheet by the user (including, but not limited to, fees and management costs incurred by RB).</v>
      </c>
      <c r="D206" s="154" t="s">
        <v>471</v>
      </c>
      <c r="E206" s="154" t="s">
        <v>634</v>
      </c>
      <c r="F206" s="193" t="s">
        <v>1295</v>
      </c>
      <c r="G206" s="193" t="s">
        <v>1296</v>
      </c>
      <c r="H206" s="193" t="s">
        <v>1297</v>
      </c>
      <c r="I206" s="193" t="s">
        <v>1298</v>
      </c>
    </row>
    <row r="207" spans="1:9" ht="25.5">
      <c r="A207" t="str">
        <f t="shared" si="3"/>
        <v>9. MISCELLANEOUS</v>
      </c>
      <c r="D207" s="154" t="s">
        <v>472</v>
      </c>
      <c r="E207" s="154" t="s">
        <v>635</v>
      </c>
      <c r="F207" s="193" t="s">
        <v>1299</v>
      </c>
      <c r="G207" s="193" t="s">
        <v>1300</v>
      </c>
      <c r="H207" s="193" t="s">
        <v>1301</v>
      </c>
      <c r="I207" s="193" t="s">
        <v>1302</v>
      </c>
    </row>
    <row r="208" spans="1:9" ht="165.75">
      <c r="A208" t="str">
        <f t="shared" si="3"/>
        <v>These general conditions constitute the entire agreement between RB and the user regarding the subject matter and replace all previous, oral or written agreements, as well as any agreements between RB and the user.</v>
      </c>
      <c r="D208" s="154" t="s">
        <v>473</v>
      </c>
      <c r="E208" s="154" t="s">
        <v>636</v>
      </c>
      <c r="F208" s="193" t="s">
        <v>1303</v>
      </c>
      <c r="G208" s="193" t="s">
        <v>1304</v>
      </c>
      <c r="H208" s="193" t="s">
        <v>1305</v>
      </c>
      <c r="I208" s="193" t="s">
        <v>1306</v>
      </c>
    </row>
    <row r="209" spans="1:9">
      <c r="A209" t="str">
        <f t="shared" si="3"/>
        <v>10. LANGUAGE</v>
      </c>
      <c r="D209" s="154" t="s">
        <v>474</v>
      </c>
      <c r="E209" s="154" t="s">
        <v>637</v>
      </c>
      <c r="F209" s="193" t="s">
        <v>1307</v>
      </c>
      <c r="G209" s="193" t="s">
        <v>1308</v>
      </c>
      <c r="H209" s="193" t="s">
        <v>1309</v>
      </c>
      <c r="I209" s="193" t="s">
        <v>1308</v>
      </c>
    </row>
    <row r="210" spans="1:9" ht="140.25">
      <c r="A210" t="str">
        <f t="shared" si="3"/>
        <v>In the event of differences between versions of these conditions in the various languages, the Italian text is binding and takes precedence with respect to the translations.</v>
      </c>
      <c r="D210" s="154" t="s">
        <v>475</v>
      </c>
      <c r="E210" s="154" t="s">
        <v>638</v>
      </c>
      <c r="F210" s="193" t="s">
        <v>1310</v>
      </c>
      <c r="G210" s="193" t="s">
        <v>1311</v>
      </c>
      <c r="H210" s="193" t="s">
        <v>1312</v>
      </c>
      <c r="I210" s="193" t="s">
        <v>1313</v>
      </c>
    </row>
    <row r="211" spans="1:9" ht="38.25">
      <c r="A211" t="str">
        <f t="shared" si="3"/>
        <v>11. APPLICABLE LAW AND COURT OF JURISDICTION</v>
      </c>
      <c r="D211" s="154" t="s">
        <v>476</v>
      </c>
      <c r="E211" s="154" t="s">
        <v>639</v>
      </c>
      <c r="F211" s="193" t="s">
        <v>1314</v>
      </c>
      <c r="G211" s="193" t="s">
        <v>1315</v>
      </c>
      <c r="H211" s="193" t="s">
        <v>1316</v>
      </c>
      <c r="I211" s="193" t="s">
        <v>1317</v>
      </c>
    </row>
    <row r="212" spans="1:9" ht="229.5">
      <c r="A212" t="str">
        <f t="shared" si="3"/>
        <v>This agreement and any relationship between the parties is governed exclusively by the Italian law. 
Any dispute that may arise between the parties in relation to this agreement, that cannot be resolved amicably, shall be brought before the court of Bolzano.</v>
      </c>
      <c r="D212" s="154" t="s">
        <v>477</v>
      </c>
      <c r="E212" s="154" t="s">
        <v>640</v>
      </c>
      <c r="F212" s="193" t="s">
        <v>1318</v>
      </c>
      <c r="G212" s="193" t="s">
        <v>1319</v>
      </c>
      <c r="H212" s="193" t="s">
        <v>1320</v>
      </c>
      <c r="I212" s="193" t="s">
        <v>1321</v>
      </c>
    </row>
    <row r="213" spans="1:9">
      <c r="A213" t="str">
        <f t="shared" si="3"/>
        <v>12. PRIVACY</v>
      </c>
      <c r="D213" s="154" t="s">
        <v>478</v>
      </c>
      <c r="E213" s="154" t="s">
        <v>478</v>
      </c>
      <c r="F213" s="193" t="s">
        <v>1322</v>
      </c>
      <c r="G213" s="193" t="s">
        <v>1323</v>
      </c>
      <c r="H213" s="193" t="s">
        <v>1324</v>
      </c>
      <c r="I213" s="193" t="s">
        <v>1325</v>
      </c>
    </row>
    <row r="214" spans="1:9" ht="51">
      <c r="A214" t="str">
        <f t="shared" si="3"/>
        <v>Refer to the privacy policy available at the link:</v>
      </c>
      <c r="D214" s="154" t="s">
        <v>482</v>
      </c>
      <c r="E214" s="154" t="s">
        <v>642</v>
      </c>
      <c r="F214" s="193" t="s">
        <v>1326</v>
      </c>
      <c r="G214" s="193" t="s">
        <v>1327</v>
      </c>
      <c r="H214" s="193" t="s">
        <v>1328</v>
      </c>
      <c r="I214" s="193" t="s">
        <v>1329</v>
      </c>
    </row>
    <row r="215" spans="1:9">
      <c r="A215" t="str">
        <f t="shared" si="3"/>
        <v>ACCEPT</v>
      </c>
      <c r="D215" s="154" t="s">
        <v>481</v>
      </c>
      <c r="E215" s="154" t="s">
        <v>643</v>
      </c>
      <c r="F215" s="193" t="s">
        <v>1330</v>
      </c>
      <c r="G215" s="193" t="s">
        <v>1331</v>
      </c>
      <c r="H215" s="193" t="s">
        <v>1332</v>
      </c>
      <c r="I215" s="193" t="s">
        <v>1333</v>
      </c>
    </row>
    <row r="216" spans="1:9">
      <c r="A216" t="str">
        <f t="shared" si="3"/>
        <v>Language</v>
      </c>
      <c r="D216" s="154" t="s">
        <v>363</v>
      </c>
      <c r="E216" t="s">
        <v>484</v>
      </c>
      <c r="F216" s="193" t="s">
        <v>688</v>
      </c>
      <c r="G216" s="193" t="s">
        <v>689</v>
      </c>
      <c r="H216" s="193" t="s">
        <v>690</v>
      </c>
      <c r="I216" s="193" t="s">
        <v>689</v>
      </c>
    </row>
    <row r="218" spans="1:9" s="169" customFormat="1">
      <c r="F218" s="201"/>
      <c r="G218" s="201"/>
      <c r="H218" s="201"/>
      <c r="I218" s="201"/>
    </row>
    <row r="220" spans="1:9">
      <c r="A220" t="s">
        <v>389</v>
      </c>
      <c r="B220" s="168" t="str">
        <f>GEOMETRY!K8</f>
        <v>EN</v>
      </c>
      <c r="D220" s="167" t="s">
        <v>358</v>
      </c>
      <c r="E220" s="167" t="s">
        <v>388</v>
      </c>
      <c r="F220" s="194" t="s">
        <v>671</v>
      </c>
      <c r="G220" s="194" t="s">
        <v>672</v>
      </c>
      <c r="H220" s="194" t="s">
        <v>673</v>
      </c>
      <c r="I220" s="194" t="s">
        <v>674</v>
      </c>
    </row>
    <row r="221" spans="1:9" ht="63.75">
      <c r="A221" t="str">
        <f>IF($B$220=$D$220,D221,IF($B$220=$E$220,E221,IF($B$220=$F$220,F221,IF($B$220=$G$220,G221,IF($B$220=$H$220,H221,IF($B$220=$I$220,I221,"ERROR"))))))</f>
        <v>(*) for aggregate size larger than 15 mm, evaluate the concrete pouring conditions</v>
      </c>
      <c r="D221" t="s">
        <v>649</v>
      </c>
      <c r="E221" t="s">
        <v>655</v>
      </c>
      <c r="F221" s="156" t="s">
        <v>1334</v>
      </c>
      <c r="G221" s="156" t="s">
        <v>1335</v>
      </c>
      <c r="H221" s="156" t="s">
        <v>1336</v>
      </c>
      <c r="I221" s="156" t="s">
        <v>1337</v>
      </c>
    </row>
    <row r="222" spans="1:9" ht="76.5">
      <c r="A222" t="str">
        <f>IF($B$220=$D$220,D222,IF($B$220=$E$220,E222,IF($B$220=$F$220,F222,IF($B$220=$G$220,G222,IF($B$220=$H$220,H222,IF($B$220=$I$220,I222,"ERROR"))))))</f>
        <v>(*) double the stiffness in case of non-symmetrical connection with single plane of connection</v>
      </c>
      <c r="D222" t="s">
        <v>657</v>
      </c>
      <c r="E222" t="s">
        <v>656</v>
      </c>
      <c r="F222" s="156" t="s">
        <v>1338</v>
      </c>
      <c r="G222" s="156" t="s">
        <v>1339</v>
      </c>
      <c r="H222" s="156" t="s">
        <v>1340</v>
      </c>
      <c r="I222" s="156" t="s">
        <v>1341</v>
      </c>
    </row>
    <row r="223" spans="1:9" ht="25.5">
      <c r="A223" t="str">
        <f>IF($B$220=$D$220,D223,IF($B$220=$E$220,E223,IF($B$220=$F$220,F223,IF($B$220=$G$220,G223,IF($B$220=$H$220,H223,IF($B$220=$I$220,I223,"ERROR"))))))</f>
        <v>Minimum bars cover required</v>
      </c>
      <c r="D223" t="s">
        <v>676</v>
      </c>
      <c r="E223" t="s">
        <v>677</v>
      </c>
      <c r="F223" s="156" t="s">
        <v>1342</v>
      </c>
      <c r="G223" s="156" t="s">
        <v>1343</v>
      </c>
      <c r="H223" s="156" t="s">
        <v>1344</v>
      </c>
      <c r="I223" s="156" t="s">
        <v>1345</v>
      </c>
    </row>
    <row r="224" spans="1:9">
      <c r="A224" t="str">
        <f t="shared" ref="A224:A226" si="4">IF($B$220=$D$220,D224,IF($B$220=$E$220,E224,IF($B$220=$F$220,F224,IF($B$220=$G$220,G224,IF($B$220=$H$220,H224,IF($B$220=$I$220,I224,"ERROR"))))))</f>
        <v>Timber</v>
      </c>
      <c r="D224" t="s">
        <v>678</v>
      </c>
      <c r="E224" t="s">
        <v>679</v>
      </c>
      <c r="F224" s="156" t="s">
        <v>1346</v>
      </c>
      <c r="G224" s="156" t="s">
        <v>1347</v>
      </c>
      <c r="H224" s="156" t="s">
        <v>1348</v>
      </c>
      <c r="I224" s="156" t="s">
        <v>1349</v>
      </c>
    </row>
    <row r="225" spans="1:9">
      <c r="A225" t="str">
        <f t="shared" si="4"/>
        <v>Concrete</v>
      </c>
      <c r="D225" t="s">
        <v>23</v>
      </c>
      <c r="E225" t="s">
        <v>327</v>
      </c>
      <c r="F225" s="156" t="s">
        <v>846</v>
      </c>
      <c r="G225" s="156" t="s">
        <v>847</v>
      </c>
      <c r="H225" s="156" t="s">
        <v>848</v>
      </c>
      <c r="I225" s="156" t="s">
        <v>849</v>
      </c>
    </row>
    <row r="226" spans="1:9">
      <c r="A226" t="str">
        <f t="shared" si="4"/>
        <v>Coefficient</v>
      </c>
      <c r="D226" t="s">
        <v>685</v>
      </c>
      <c r="E226" t="s">
        <v>686</v>
      </c>
      <c r="F226" s="156" t="s">
        <v>1350</v>
      </c>
      <c r="G226" s="156" t="s">
        <v>1351</v>
      </c>
      <c r="H226" s="156" t="s">
        <v>686</v>
      </c>
      <c r="I226" s="156" t="s">
        <v>1351</v>
      </c>
    </row>
  </sheetData>
  <sheetProtection algorithmName="SHA-512" hashValue="a4Y4qr617gDVBo/aKI3bHXrkgAQ6SUY41HZ1+ZYONh/YH+ANRaUKBArwgZVv7KIFaijIpa7CC7a0SgBCISRf3w==" saltValue="910oo4lTVAdBHJH8U0ophQ==" spinCount="100000" sheet="1" objects="1" scenarios="1" selectLockedCell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230ED-C311-4458-BE29-F950F48792E6}">
  <sheetPr codeName="Foglio8"/>
  <dimension ref="C1:AN96"/>
  <sheetViews>
    <sheetView workbookViewId="0">
      <selection activeCell="P26" sqref="P26"/>
    </sheetView>
  </sheetViews>
  <sheetFormatPr defaultRowHeight="12.75"/>
  <sheetData>
    <row r="1" spans="3:40">
      <c r="AC1" t="s">
        <v>97</v>
      </c>
      <c r="AF1" t="s">
        <v>97</v>
      </c>
      <c r="AJ1" t="s">
        <v>287</v>
      </c>
    </row>
    <row r="2" spans="3:40">
      <c r="M2" t="s">
        <v>118</v>
      </c>
      <c r="N2" t="s">
        <v>230</v>
      </c>
      <c r="P2" t="s">
        <v>118</v>
      </c>
      <c r="Q2" t="s">
        <v>230</v>
      </c>
      <c r="AB2">
        <f>IF(I8="T",0,AB3+50)</f>
        <v>300</v>
      </c>
      <c r="AC2">
        <f>IF(I8="T",0,AC3+50)</f>
        <v>550</v>
      </c>
      <c r="AE2">
        <f>IF(I8="T",0,AE3+50)</f>
        <v>1500</v>
      </c>
      <c r="AF2">
        <f>IF(I8="T",0,AF3+50)</f>
        <v>550</v>
      </c>
      <c r="AJ2">
        <f>IF(I8="L",0,N5/2+50)</f>
        <v>0</v>
      </c>
      <c r="AK2">
        <f>IF(I8="L",0,M4/4+50)</f>
        <v>0</v>
      </c>
      <c r="AM2">
        <f>IF(I8="L",0,AJ2++D9+D23)</f>
        <v>0</v>
      </c>
      <c r="AN2">
        <f>IF(I8="L",0,AK2)</f>
        <v>0</v>
      </c>
    </row>
    <row r="3" spans="3:40">
      <c r="L3">
        <v>1</v>
      </c>
      <c r="M3">
        <f>0</f>
        <v>0</v>
      </c>
      <c r="N3">
        <v>0</v>
      </c>
      <c r="P3">
        <f>M3+D9+D23</f>
        <v>1200</v>
      </c>
      <c r="Q3">
        <f>N3</f>
        <v>0</v>
      </c>
      <c r="S3">
        <v>0</v>
      </c>
      <c r="T3">
        <v>0</v>
      </c>
      <c r="V3">
        <f>P3</f>
        <v>1200</v>
      </c>
      <c r="W3">
        <f>Q3</f>
        <v>0</v>
      </c>
      <c r="Y3">
        <f>D9+5</f>
        <v>1005</v>
      </c>
      <c r="Z3">
        <f>Q3</f>
        <v>0</v>
      </c>
      <c r="AB3">
        <f>IF(I8="T",0,M4/4)</f>
        <v>250</v>
      </c>
      <c r="AC3">
        <f>IF(I8="T",0,N5/2)</f>
        <v>500</v>
      </c>
      <c r="AE3">
        <f>IF(I8="T",0,AB3+D9+D23)</f>
        <v>1450</v>
      </c>
      <c r="AF3">
        <f>IF(I8="T",0,AC3)</f>
        <v>500</v>
      </c>
      <c r="AJ3">
        <f>IF(I8="L",0,N5/2)</f>
        <v>0</v>
      </c>
      <c r="AK3">
        <f>IF(I8="L",0,M4/4)</f>
        <v>0</v>
      </c>
      <c r="AM3">
        <f>IF(I8="L",0,AJ3++D9+D23)</f>
        <v>0</v>
      </c>
      <c r="AN3">
        <f>IF(I8="L",0,AK3)</f>
        <v>0</v>
      </c>
    </row>
    <row r="4" spans="3:40">
      <c r="L4">
        <v>2</v>
      </c>
      <c r="M4">
        <f>D9</f>
        <v>1000</v>
      </c>
      <c r="N4">
        <v>0</v>
      </c>
      <c r="P4">
        <f>M4+D23+D9</f>
        <v>2200</v>
      </c>
      <c r="Q4">
        <f t="shared" ref="Q4:Q6" si="0">N4</f>
        <v>0</v>
      </c>
      <c r="S4">
        <v>0</v>
      </c>
      <c r="T4">
        <f>D9</f>
        <v>1000</v>
      </c>
      <c r="V4">
        <f>0</f>
        <v>0</v>
      </c>
      <c r="W4">
        <f>Q3</f>
        <v>0</v>
      </c>
      <c r="Y4">
        <f>D9-5+D23</f>
        <v>1195</v>
      </c>
      <c r="Z4">
        <f t="shared" ref="Z4:Z6" si="1">Q4</f>
        <v>0</v>
      </c>
      <c r="AB4">
        <f>IF(I8="T",0,M5-AB3)</f>
        <v>750</v>
      </c>
      <c r="AC4">
        <f>IF(I8="T",0,AC3)</f>
        <v>500</v>
      </c>
      <c r="AE4">
        <f>IF(I8="T",0,AB4+D9+D23)</f>
        <v>1950</v>
      </c>
      <c r="AF4">
        <f>IF(I8="T",0,AC4)</f>
        <v>500</v>
      </c>
      <c r="AJ4">
        <f>IF(I8="L",0,N5/2)</f>
        <v>0</v>
      </c>
      <c r="AK4">
        <f>IF(I8="L",0,M5-M4/4)</f>
        <v>0</v>
      </c>
      <c r="AM4">
        <f>IF(I8="L",0,AJ4++D9+D23)</f>
        <v>0</v>
      </c>
      <c r="AN4">
        <f>IF(I8="L",0,AK4)</f>
        <v>0</v>
      </c>
    </row>
    <row r="5" spans="3:40">
      <c r="L5">
        <v>3</v>
      </c>
      <c r="M5">
        <f>M4</f>
        <v>1000</v>
      </c>
      <c r="N5">
        <f>M4</f>
        <v>1000</v>
      </c>
      <c r="P5">
        <f>M5+D23+D9</f>
        <v>2200</v>
      </c>
      <c r="Q5">
        <f t="shared" si="0"/>
        <v>1000</v>
      </c>
      <c r="Y5">
        <f>P5-5-D9</f>
        <v>1195</v>
      </c>
      <c r="Z5">
        <f t="shared" si="1"/>
        <v>1000</v>
      </c>
      <c r="AB5">
        <f>IF(I8="T",0,AB4-50)</f>
        <v>700</v>
      </c>
      <c r="AC5">
        <f>IF(I8="T",0,AC4-50)</f>
        <v>450</v>
      </c>
      <c r="AE5">
        <f>IF(I8="T",0,AE4-50)</f>
        <v>1900</v>
      </c>
      <c r="AF5">
        <f>IF(I8="T",0,AF4-50)</f>
        <v>450</v>
      </c>
      <c r="AJ5">
        <f>IF(I8="L",0,N5/2-50)</f>
        <v>0</v>
      </c>
      <c r="AK5">
        <f>IF(I8="L",0,M5-M4/4-50)</f>
        <v>0</v>
      </c>
      <c r="AM5">
        <f>IF(I8="L",0,AJ5+D9+D23)</f>
        <v>0</v>
      </c>
      <c r="AN5">
        <f>IF(I8="L",0,AK5)</f>
        <v>0</v>
      </c>
    </row>
    <row r="6" spans="3:40">
      <c r="L6">
        <v>4</v>
      </c>
      <c r="M6">
        <f>0</f>
        <v>0</v>
      </c>
      <c r="N6">
        <f>M5</f>
        <v>1000</v>
      </c>
      <c r="P6">
        <f>M6+D23+D9</f>
        <v>1200</v>
      </c>
      <c r="Q6">
        <f t="shared" si="0"/>
        <v>1000</v>
      </c>
      <c r="S6">
        <f>P6</f>
        <v>1200</v>
      </c>
      <c r="T6">
        <f>Q6</f>
        <v>1000</v>
      </c>
      <c r="Y6">
        <f>D9+5</f>
        <v>1005</v>
      </c>
      <c r="Z6">
        <f t="shared" si="1"/>
        <v>1000</v>
      </c>
    </row>
    <row r="7" spans="3:40">
      <c r="P7">
        <f>P3</f>
        <v>1200</v>
      </c>
      <c r="Q7">
        <f>Q3</f>
        <v>0</v>
      </c>
      <c r="S7">
        <f>S6</f>
        <v>1200</v>
      </c>
      <c r="T7">
        <f>Q3</f>
        <v>0</v>
      </c>
      <c r="Y7">
        <f>Y3</f>
        <v>1005</v>
      </c>
      <c r="Z7">
        <f>Z3</f>
        <v>0</v>
      </c>
    </row>
    <row r="8" spans="3:40">
      <c r="I8" t="str">
        <f>GEOMETRY!H34</f>
        <v>L</v>
      </c>
      <c r="Y8">
        <f>Y5</f>
        <v>1195</v>
      </c>
      <c r="Z8">
        <f>Z5</f>
        <v>1000</v>
      </c>
      <c r="AF8">
        <f>IF(I8="T",0,1)</f>
        <v>1</v>
      </c>
    </row>
    <row r="9" spans="3:40">
      <c r="C9" t="s">
        <v>149</v>
      </c>
      <c r="D9">
        <f>GEOMETRY!H21</f>
        <v>1000</v>
      </c>
      <c r="E9" t="s">
        <v>113</v>
      </c>
      <c r="I9" t="str">
        <f>GEOMETRY!$H$32</f>
        <v>260mm - 7s - 40 40 30 40 30 40 40</v>
      </c>
      <c r="Y9">
        <f>Y6</f>
        <v>1005</v>
      </c>
      <c r="Z9">
        <f>Z8</f>
        <v>1000</v>
      </c>
    </row>
    <row r="10" spans="3:40">
      <c r="C10" t="s">
        <v>141</v>
      </c>
      <c r="D10">
        <f>GEOMETRY!H33</f>
        <v>260</v>
      </c>
      <c r="E10" t="s">
        <v>113</v>
      </c>
      <c r="Y10">
        <f>Y8</f>
        <v>1195</v>
      </c>
      <c r="Z10">
        <v>0</v>
      </c>
    </row>
    <row r="11" spans="3:40">
      <c r="C11" t="s">
        <v>317</v>
      </c>
      <c r="D11">
        <f>IF(--MID(GEOMETRY!H31,3,1)=1,--MID(GEOMETRY!H31,3,2),--MID(GEOMETRY!H31,3,1))</f>
        <v>7</v>
      </c>
      <c r="F11">
        <v>1</v>
      </c>
      <c r="G11">
        <f>IF(F11&lt;$D$11,F11,IF(F11=$D$11,F11,""))</f>
        <v>1</v>
      </c>
      <c r="H11">
        <f>IF(G11="","",1)</f>
        <v>1</v>
      </c>
      <c r="I11">
        <f>IF(G11="","",IF(--MID(GEOMETRY!$H$31,3,1)=1,--MID(GEOMETRY!$H$32,15,2),--MID(GEOMETRY!$H$32,14,2)))</f>
        <v>40</v>
      </c>
      <c r="M11" t="s">
        <v>318</v>
      </c>
      <c r="N11" t="s">
        <v>118</v>
      </c>
      <c r="O11" t="s">
        <v>230</v>
      </c>
      <c r="Q11" t="s">
        <v>319</v>
      </c>
    </row>
    <row r="12" spans="3:40">
      <c r="F12">
        <v>2</v>
      </c>
      <c r="G12">
        <f t="shared" ref="G12:G21" si="2">IF(F12&lt;$D$11,F12,IF(F12=$D$11,F12,""))</f>
        <v>2</v>
      </c>
      <c r="H12">
        <f t="shared" ref="H12:H21" si="3">IF(G12="","",1)</f>
        <v>1</v>
      </c>
      <c r="I12">
        <f>IF(G12="","",IF(--MID(GEOMETRY!$H$31,3,1)=1,--MID(GEOMETRY!$H$32,15+3,2),--MID(GEOMETRY!$H$32,14+3,2)))</f>
        <v>40</v>
      </c>
      <c r="L12">
        <v>1</v>
      </c>
      <c r="M12">
        <f>IF(L12&gt;$D$17,"",L12)</f>
        <v>1</v>
      </c>
      <c r="N12">
        <f>IF(M12="","",D19)</f>
        <v>50</v>
      </c>
      <c r="O12">
        <f>IF(M12="","",$D$16)</f>
        <v>45</v>
      </c>
      <c r="Q12">
        <f>IF(L12&gt;$D$18,"",L12)</f>
        <v>1</v>
      </c>
      <c r="R12">
        <f>IF(Q12="","",D20)</f>
        <v>100</v>
      </c>
      <c r="S12">
        <f>IF(Q12="","",$D$10-$D$16)</f>
        <v>215</v>
      </c>
    </row>
    <row r="13" spans="3:40">
      <c r="F13">
        <v>3</v>
      </c>
      <c r="G13">
        <f t="shared" si="2"/>
        <v>3</v>
      </c>
      <c r="H13">
        <f t="shared" si="3"/>
        <v>1</v>
      </c>
      <c r="I13">
        <f>IF(G13="","",IF(--MID(GEOMETRY!$H$31,3,1)=1,--MID(GEOMETRY!$H$32,15+6,2),--MID(GEOMETRY!$H$32,14+6,2)))</f>
        <v>30</v>
      </c>
      <c r="L13">
        <v>2</v>
      </c>
      <c r="M13">
        <f t="shared" ref="M13:M36" si="4">IF(L13&gt;$D$17,"",L13)</f>
        <v>2</v>
      </c>
      <c r="N13">
        <f>IF(M13="","",N12+$D$14)</f>
        <v>250</v>
      </c>
      <c r="O13">
        <f t="shared" ref="O13:O36" si="5">IF(M13="","",$D$16)</f>
        <v>45</v>
      </c>
      <c r="Q13">
        <f>IF(L13&gt;$D$18,"",L13)</f>
        <v>2</v>
      </c>
      <c r="R13">
        <f>IF(Q13="","",R12+$D$15)</f>
        <v>300</v>
      </c>
      <c r="S13">
        <f t="shared" ref="S13:S36" si="6">IF(Q13="","",$D$10-$D$16)</f>
        <v>215</v>
      </c>
    </row>
    <row r="14" spans="3:40">
      <c r="C14" t="s">
        <v>157</v>
      </c>
      <c r="D14">
        <f>GEOMETRY!H40</f>
        <v>200</v>
      </c>
      <c r="E14" t="s">
        <v>113</v>
      </c>
      <c r="F14">
        <v>4</v>
      </c>
      <c r="G14">
        <f t="shared" si="2"/>
        <v>4</v>
      </c>
      <c r="H14">
        <f t="shared" si="3"/>
        <v>1</v>
      </c>
      <c r="I14">
        <f>IF(G14="","",IF(--MID(GEOMETRY!$H$31,3,1)=1,--MID(GEOMETRY!$H$32,15+9,2),--MID(GEOMETRY!$H$32,14+9,2)))</f>
        <v>40</v>
      </c>
      <c r="L14">
        <v>3</v>
      </c>
      <c r="M14">
        <f t="shared" si="4"/>
        <v>3</v>
      </c>
      <c r="N14">
        <f>IF(M14="","",N13+$D$14)</f>
        <v>450</v>
      </c>
      <c r="O14">
        <f t="shared" si="5"/>
        <v>45</v>
      </c>
      <c r="Q14">
        <f>IF(L14&gt;$D$18,"",L14)</f>
        <v>3</v>
      </c>
      <c r="R14">
        <f t="shared" ref="R14:R36" si="7">IF(Q14="","",R13+$D$15)</f>
        <v>500</v>
      </c>
      <c r="S14">
        <f t="shared" si="6"/>
        <v>215</v>
      </c>
    </row>
    <row r="15" spans="3:40">
      <c r="C15" t="s">
        <v>158</v>
      </c>
      <c r="D15">
        <f>GEOMETRY!H41</f>
        <v>200</v>
      </c>
      <c r="E15" t="s">
        <v>113</v>
      </c>
      <c r="F15">
        <v>5</v>
      </c>
      <c r="G15">
        <f t="shared" si="2"/>
        <v>5</v>
      </c>
      <c r="H15">
        <f t="shared" si="3"/>
        <v>1</v>
      </c>
      <c r="I15">
        <f>IF(G15="","",IF(--MID(GEOMETRY!$H$31,3,1)=1,--MID(GEOMETRY!$H$32,15+12,2),--MID(GEOMETRY!$H$32,14+12,2)))</f>
        <v>30</v>
      </c>
      <c r="L15">
        <v>4</v>
      </c>
      <c r="M15">
        <f t="shared" si="4"/>
        <v>4</v>
      </c>
      <c r="N15">
        <f t="shared" ref="N15:N36" si="8">IF(M15="","",N14+$D$14)</f>
        <v>650</v>
      </c>
      <c r="O15">
        <f t="shared" si="5"/>
        <v>45</v>
      </c>
      <c r="Q15">
        <f>IF(L15&gt;$D$18,"",L15)</f>
        <v>4</v>
      </c>
      <c r="R15">
        <f t="shared" si="7"/>
        <v>700</v>
      </c>
      <c r="S15">
        <f t="shared" si="6"/>
        <v>215</v>
      </c>
    </row>
    <row r="16" spans="3:40">
      <c r="C16" t="s">
        <v>147</v>
      </c>
      <c r="D16">
        <f>GEOMETRY!H70</f>
        <v>45</v>
      </c>
      <c r="E16" t="s">
        <v>113</v>
      </c>
      <c r="F16">
        <v>6</v>
      </c>
      <c r="G16">
        <f t="shared" si="2"/>
        <v>6</v>
      </c>
      <c r="H16">
        <f t="shared" si="3"/>
        <v>1</v>
      </c>
      <c r="I16">
        <f>IF(G16="","",IF(--MID(GEOMETRY!$H$31,3,1)=1,--MID(GEOMETRY!$H$32,15+15,2),--MID(GEOMETRY!$H$32,14+15,2)))</f>
        <v>40</v>
      </c>
      <c r="L16">
        <v>5</v>
      </c>
      <c r="M16">
        <f t="shared" si="4"/>
        <v>5</v>
      </c>
      <c r="N16">
        <f>IF(M16="","",N15+$D$14)</f>
        <v>850</v>
      </c>
      <c r="O16">
        <f t="shared" si="5"/>
        <v>45</v>
      </c>
      <c r="Q16">
        <f>IF(L16&gt;$D$18,"",L16)</f>
        <v>5</v>
      </c>
      <c r="R16">
        <f t="shared" si="7"/>
        <v>900</v>
      </c>
      <c r="S16">
        <f t="shared" si="6"/>
        <v>215</v>
      </c>
    </row>
    <row r="17" spans="3:19">
      <c r="C17" t="s">
        <v>234</v>
      </c>
      <c r="D17">
        <f>D9/D14</f>
        <v>5</v>
      </c>
      <c r="E17" t="s">
        <v>113</v>
      </c>
      <c r="F17">
        <v>7</v>
      </c>
      <c r="G17">
        <f t="shared" si="2"/>
        <v>7</v>
      </c>
      <c r="H17">
        <f t="shared" si="3"/>
        <v>1</v>
      </c>
      <c r="I17">
        <f>IF(G17="","",IF(--MID(GEOMETRY!$H$31,3,1)=1,--MID(GEOMETRY!$H$32,15+18,2),--MID(GEOMETRY!$H$32,14+18,2)))</f>
        <v>40</v>
      </c>
      <c r="L17">
        <v>6</v>
      </c>
      <c r="M17" t="str">
        <f>IF(L17&gt;$D$17,"",L17)</f>
        <v/>
      </c>
      <c r="N17" t="str">
        <f t="shared" si="8"/>
        <v/>
      </c>
      <c r="O17" t="str">
        <f t="shared" si="5"/>
        <v/>
      </c>
      <c r="R17" t="str">
        <f t="shared" si="7"/>
        <v/>
      </c>
      <c r="S17" t="str">
        <f t="shared" si="6"/>
        <v/>
      </c>
    </row>
    <row r="18" spans="3:19">
      <c r="C18" t="s">
        <v>235</v>
      </c>
      <c r="D18">
        <f>D9/D15</f>
        <v>5</v>
      </c>
      <c r="E18" t="s">
        <v>113</v>
      </c>
      <c r="F18">
        <v>8</v>
      </c>
      <c r="G18" t="str">
        <f t="shared" si="2"/>
        <v/>
      </c>
      <c r="H18" t="str">
        <f t="shared" si="3"/>
        <v/>
      </c>
      <c r="I18" t="str">
        <f>IF(G18="","",IF(--MID(GEOMETRY!$H$31,3,1)=1,--MID(GEOMETRY!$H$32,15+21,2),--MID(GEOMETRY!$H$32,14+21,2)))</f>
        <v/>
      </c>
      <c r="L18">
        <v>7</v>
      </c>
      <c r="M18" t="str">
        <f t="shared" si="4"/>
        <v/>
      </c>
      <c r="N18" t="str">
        <f t="shared" si="8"/>
        <v/>
      </c>
      <c r="O18" t="str">
        <f t="shared" si="5"/>
        <v/>
      </c>
      <c r="R18" t="str">
        <f t="shared" si="7"/>
        <v/>
      </c>
      <c r="S18" t="str">
        <f t="shared" si="6"/>
        <v/>
      </c>
    </row>
    <row r="19" spans="3:19">
      <c r="C19" t="s">
        <v>320</v>
      </c>
      <c r="D19">
        <v>50</v>
      </c>
      <c r="E19" t="s">
        <v>113</v>
      </c>
      <c r="F19">
        <v>9</v>
      </c>
      <c r="G19" t="str">
        <f t="shared" si="2"/>
        <v/>
      </c>
      <c r="H19" t="str">
        <f t="shared" si="3"/>
        <v/>
      </c>
      <c r="I19" t="str">
        <f>IF(G19="","",IF(--MID(GEOMETRY!$H$31,3,1)=1,--MID(GEOMETRY!$H$32,15+24,2),--MID(GEOMETRY!$H$32,14+24,2)))</f>
        <v/>
      </c>
      <c r="L19">
        <v>8</v>
      </c>
      <c r="M19" t="str">
        <f t="shared" si="4"/>
        <v/>
      </c>
      <c r="N19" t="str">
        <f t="shared" si="8"/>
        <v/>
      </c>
      <c r="O19" t="str">
        <f t="shared" si="5"/>
        <v/>
      </c>
      <c r="R19" t="str">
        <f t="shared" si="7"/>
        <v/>
      </c>
      <c r="S19" t="str">
        <f t="shared" si="6"/>
        <v/>
      </c>
    </row>
    <row r="20" spans="3:19">
      <c r="C20" t="s">
        <v>321</v>
      </c>
      <c r="D20">
        <v>100</v>
      </c>
      <c r="E20" t="s">
        <v>113</v>
      </c>
      <c r="F20">
        <v>10</v>
      </c>
      <c r="G20" t="str">
        <f t="shared" si="2"/>
        <v/>
      </c>
      <c r="H20" t="str">
        <f t="shared" si="3"/>
        <v/>
      </c>
      <c r="I20" t="str">
        <f>IF(G20="","",IF(--MID(GEOMETRY!$H$31,3,1)=1,--MID(GEOMETRY!$H$32,15+27,2),--MID(GEOMETRY!$H$32,14+27,2)))</f>
        <v/>
      </c>
      <c r="L20">
        <v>9</v>
      </c>
      <c r="M20" t="str">
        <f t="shared" si="4"/>
        <v/>
      </c>
      <c r="N20" t="str">
        <f t="shared" si="8"/>
        <v/>
      </c>
      <c r="O20" t="str">
        <f t="shared" si="5"/>
        <v/>
      </c>
      <c r="R20" t="str">
        <f t="shared" si="7"/>
        <v/>
      </c>
      <c r="S20" t="str">
        <f t="shared" si="6"/>
        <v/>
      </c>
    </row>
    <row r="21" spans="3:19">
      <c r="C21" t="s">
        <v>326</v>
      </c>
      <c r="D21">
        <f>IF(GEOMETRY!H42="N",0,GEOMETRY!I42)</f>
        <v>0</v>
      </c>
      <c r="E21" t="s">
        <v>113</v>
      </c>
      <c r="F21">
        <v>11</v>
      </c>
      <c r="G21" t="str">
        <f t="shared" si="2"/>
        <v/>
      </c>
      <c r="H21" t="str">
        <f t="shared" si="3"/>
        <v/>
      </c>
      <c r="I21" t="str">
        <f>IF(G21="","",IF(--MID(GEOMETRY!$H$31,3,1)=1,--MID(GEOMETRY!$H$32,15+30,2),--MID(GEOMETRY!$H$32,14+30,2)))</f>
        <v/>
      </c>
      <c r="L21">
        <v>10</v>
      </c>
      <c r="M21" t="str">
        <f t="shared" si="4"/>
        <v/>
      </c>
      <c r="N21" t="str">
        <f t="shared" si="8"/>
        <v/>
      </c>
      <c r="O21" t="str">
        <f t="shared" si="5"/>
        <v/>
      </c>
      <c r="R21" t="str">
        <f t="shared" si="7"/>
        <v/>
      </c>
      <c r="S21" t="str">
        <f t="shared" si="6"/>
        <v/>
      </c>
    </row>
    <row r="22" spans="3:19">
      <c r="C22" t="s">
        <v>325</v>
      </c>
      <c r="D22">
        <f>D23+60</f>
        <v>260</v>
      </c>
      <c r="E22" t="s">
        <v>113</v>
      </c>
      <c r="L22">
        <v>11</v>
      </c>
      <c r="M22" t="str">
        <f t="shared" si="4"/>
        <v/>
      </c>
      <c r="N22" t="str">
        <f t="shared" si="8"/>
        <v/>
      </c>
      <c r="O22" t="str">
        <f t="shared" si="5"/>
        <v/>
      </c>
      <c r="R22" t="str">
        <f t="shared" si="7"/>
        <v/>
      </c>
      <c r="S22" t="str">
        <f t="shared" si="6"/>
        <v/>
      </c>
    </row>
    <row r="23" spans="3:19">
      <c r="C23" t="s">
        <v>322</v>
      </c>
      <c r="D23">
        <f>GEOMETRY!H67</f>
        <v>200</v>
      </c>
      <c r="E23" t="s">
        <v>113</v>
      </c>
      <c r="L23">
        <v>12</v>
      </c>
      <c r="M23" t="str">
        <f t="shared" si="4"/>
        <v/>
      </c>
      <c r="N23" t="str">
        <f t="shared" si="8"/>
        <v/>
      </c>
      <c r="O23" t="str">
        <f t="shared" si="5"/>
        <v/>
      </c>
      <c r="R23" t="str">
        <f t="shared" si="7"/>
        <v/>
      </c>
      <c r="S23" t="str">
        <f t="shared" si="6"/>
        <v/>
      </c>
    </row>
    <row r="24" spans="3:19">
      <c r="L24">
        <v>13</v>
      </c>
      <c r="M24" t="str">
        <f t="shared" si="4"/>
        <v/>
      </c>
      <c r="N24" t="str">
        <f t="shared" si="8"/>
        <v/>
      </c>
      <c r="O24" t="str">
        <f t="shared" si="5"/>
        <v/>
      </c>
      <c r="R24" t="str">
        <f t="shared" si="7"/>
        <v/>
      </c>
      <c r="S24" t="str">
        <f t="shared" si="6"/>
        <v/>
      </c>
    </row>
    <row r="25" spans="3:19">
      <c r="L25">
        <v>14</v>
      </c>
      <c r="M25" t="str">
        <f t="shared" si="4"/>
        <v/>
      </c>
      <c r="N25" t="str">
        <f t="shared" si="8"/>
        <v/>
      </c>
      <c r="O25" t="str">
        <f t="shared" si="5"/>
        <v/>
      </c>
      <c r="R25" t="str">
        <f t="shared" si="7"/>
        <v/>
      </c>
      <c r="S25" t="str">
        <f t="shared" si="6"/>
        <v/>
      </c>
    </row>
    <row r="26" spans="3:19">
      <c r="L26">
        <v>15</v>
      </c>
      <c r="M26" t="str">
        <f t="shared" si="4"/>
        <v/>
      </c>
      <c r="N26" t="str">
        <f t="shared" si="8"/>
        <v/>
      </c>
      <c r="O26" t="str">
        <f t="shared" si="5"/>
        <v/>
      </c>
      <c r="R26" t="str">
        <f t="shared" si="7"/>
        <v/>
      </c>
      <c r="S26" t="str">
        <f t="shared" si="6"/>
        <v/>
      </c>
    </row>
    <row r="27" spans="3:19">
      <c r="L27">
        <v>16</v>
      </c>
      <c r="M27" t="str">
        <f t="shared" si="4"/>
        <v/>
      </c>
      <c r="N27" t="str">
        <f t="shared" si="8"/>
        <v/>
      </c>
      <c r="O27" t="str">
        <f t="shared" si="5"/>
        <v/>
      </c>
      <c r="R27" t="str">
        <f t="shared" si="7"/>
        <v/>
      </c>
      <c r="S27" t="str">
        <f t="shared" si="6"/>
        <v/>
      </c>
    </row>
    <row r="28" spans="3:19">
      <c r="L28">
        <v>17</v>
      </c>
      <c r="M28" t="str">
        <f t="shared" si="4"/>
        <v/>
      </c>
      <c r="N28" t="str">
        <f t="shared" si="8"/>
        <v/>
      </c>
      <c r="O28" t="str">
        <f t="shared" si="5"/>
        <v/>
      </c>
      <c r="R28" t="str">
        <f t="shared" si="7"/>
        <v/>
      </c>
      <c r="S28" t="str">
        <f t="shared" si="6"/>
        <v/>
      </c>
    </row>
    <row r="29" spans="3:19">
      <c r="L29">
        <v>18</v>
      </c>
      <c r="M29" t="str">
        <f t="shared" si="4"/>
        <v/>
      </c>
      <c r="N29" t="str">
        <f t="shared" si="8"/>
        <v/>
      </c>
      <c r="O29" t="str">
        <f t="shared" si="5"/>
        <v/>
      </c>
      <c r="R29" t="str">
        <f t="shared" si="7"/>
        <v/>
      </c>
      <c r="S29" t="str">
        <f t="shared" si="6"/>
        <v/>
      </c>
    </row>
    <row r="30" spans="3:19">
      <c r="L30">
        <v>19</v>
      </c>
      <c r="M30" t="str">
        <f t="shared" si="4"/>
        <v/>
      </c>
      <c r="N30" t="str">
        <f t="shared" si="8"/>
        <v/>
      </c>
      <c r="O30" t="str">
        <f t="shared" si="5"/>
        <v/>
      </c>
      <c r="R30" t="str">
        <f t="shared" si="7"/>
        <v/>
      </c>
      <c r="S30" t="str">
        <f t="shared" si="6"/>
        <v/>
      </c>
    </row>
    <row r="31" spans="3:19">
      <c r="L31">
        <v>20</v>
      </c>
      <c r="M31" t="str">
        <f t="shared" si="4"/>
        <v/>
      </c>
      <c r="N31" t="str">
        <f t="shared" si="8"/>
        <v/>
      </c>
      <c r="O31" t="str">
        <f t="shared" si="5"/>
        <v/>
      </c>
      <c r="R31" t="str">
        <f t="shared" si="7"/>
        <v/>
      </c>
      <c r="S31" t="str">
        <f t="shared" si="6"/>
        <v/>
      </c>
    </row>
    <row r="32" spans="3:19">
      <c r="L32">
        <v>21</v>
      </c>
      <c r="M32" t="str">
        <f t="shared" si="4"/>
        <v/>
      </c>
      <c r="N32" t="str">
        <f t="shared" si="8"/>
        <v/>
      </c>
      <c r="O32" t="str">
        <f t="shared" si="5"/>
        <v/>
      </c>
      <c r="R32" t="str">
        <f t="shared" si="7"/>
        <v/>
      </c>
      <c r="S32" t="str">
        <f t="shared" si="6"/>
        <v/>
      </c>
    </row>
    <row r="33" spans="6:37">
      <c r="L33">
        <v>22</v>
      </c>
      <c r="M33" t="str">
        <f t="shared" si="4"/>
        <v/>
      </c>
      <c r="N33" t="str">
        <f t="shared" si="8"/>
        <v/>
      </c>
      <c r="O33" t="str">
        <f t="shared" si="5"/>
        <v/>
      </c>
      <c r="R33" t="str">
        <f t="shared" si="7"/>
        <v/>
      </c>
      <c r="S33" t="str">
        <f t="shared" si="6"/>
        <v/>
      </c>
    </row>
    <row r="34" spans="6:37">
      <c r="L34">
        <v>23</v>
      </c>
      <c r="M34" t="str">
        <f t="shared" si="4"/>
        <v/>
      </c>
      <c r="N34" t="str">
        <f t="shared" si="8"/>
        <v/>
      </c>
      <c r="O34" t="str">
        <f t="shared" si="5"/>
        <v/>
      </c>
      <c r="R34" t="str">
        <f t="shared" si="7"/>
        <v/>
      </c>
      <c r="S34" t="str">
        <f t="shared" si="6"/>
        <v/>
      </c>
    </row>
    <row r="35" spans="6:37">
      <c r="L35">
        <v>24</v>
      </c>
      <c r="M35" t="str">
        <f t="shared" si="4"/>
        <v/>
      </c>
      <c r="N35" t="str">
        <f t="shared" si="8"/>
        <v/>
      </c>
      <c r="O35" t="str">
        <f t="shared" si="5"/>
        <v/>
      </c>
      <c r="R35" t="str">
        <f t="shared" si="7"/>
        <v/>
      </c>
      <c r="S35" t="str">
        <f t="shared" si="6"/>
        <v/>
      </c>
    </row>
    <row r="36" spans="6:37">
      <c r="L36">
        <v>25</v>
      </c>
      <c r="M36" t="str">
        <f t="shared" si="4"/>
        <v/>
      </c>
      <c r="N36" t="str">
        <f t="shared" si="8"/>
        <v/>
      </c>
      <c r="O36" t="str">
        <f t="shared" si="5"/>
        <v/>
      </c>
      <c r="R36" t="str">
        <f t="shared" si="7"/>
        <v/>
      </c>
      <c r="S36" t="str">
        <f t="shared" si="6"/>
        <v/>
      </c>
    </row>
    <row r="38" spans="6:37">
      <c r="I38" t="s">
        <v>118</v>
      </c>
      <c r="J38" t="s">
        <v>230</v>
      </c>
      <c r="N38" s="37"/>
    </row>
    <row r="39" spans="6:37">
      <c r="F39">
        <v>1</v>
      </c>
      <c r="G39">
        <f>IF(F39&lt;$D$11*2,F39,IF(F39=$D$11*2,F39,""))</f>
        <v>1</v>
      </c>
      <c r="H39">
        <f>IF(G39="",0,1)</f>
        <v>1</v>
      </c>
      <c r="I39">
        <f>0*H39</f>
        <v>0</v>
      </c>
      <c r="J39">
        <v>0</v>
      </c>
      <c r="L39">
        <f>I39+$D$9+$D$23</f>
        <v>1200</v>
      </c>
      <c r="M39">
        <f>J39</f>
        <v>0</v>
      </c>
    </row>
    <row r="40" spans="6:37">
      <c r="F40">
        <v>2</v>
      </c>
      <c r="G40">
        <f t="shared" ref="G40:G59" si="9">IF(F40&lt;$D$11*2,F40,IF(F40=$D$11*2,F40,""))</f>
        <v>2</v>
      </c>
      <c r="H40">
        <f t="shared" ref="H40:H60" si="10">IF(G40="",0,1)</f>
        <v>1</v>
      </c>
      <c r="I40">
        <f>$D$9*H40</f>
        <v>1000</v>
      </c>
      <c r="J40">
        <v>0</v>
      </c>
      <c r="L40">
        <f t="shared" ref="L40:L62" si="11">I40+$D$9+$D$23</f>
        <v>2200</v>
      </c>
      <c r="M40">
        <f t="shared" ref="M40:M62" si="12">J40</f>
        <v>0</v>
      </c>
    </row>
    <row r="41" spans="6:37">
      <c r="F41">
        <v>3</v>
      </c>
      <c r="G41">
        <f t="shared" si="9"/>
        <v>3</v>
      </c>
      <c r="H41">
        <f t="shared" si="10"/>
        <v>1</v>
      </c>
      <c r="I41">
        <f>0*H41</f>
        <v>0</v>
      </c>
      <c r="J41">
        <f>I11</f>
        <v>40</v>
      </c>
      <c r="L41">
        <f t="shared" si="11"/>
        <v>1200</v>
      </c>
      <c r="M41">
        <f t="shared" si="12"/>
        <v>40</v>
      </c>
    </row>
    <row r="42" spans="6:37">
      <c r="F42">
        <v>4</v>
      </c>
      <c r="G42">
        <f t="shared" si="9"/>
        <v>4</v>
      </c>
      <c r="H42">
        <f t="shared" si="10"/>
        <v>1</v>
      </c>
      <c r="I42">
        <f>$D$9*H42</f>
        <v>1000</v>
      </c>
      <c r="J42">
        <f>I11</f>
        <v>40</v>
      </c>
      <c r="L42">
        <f t="shared" si="11"/>
        <v>2200</v>
      </c>
      <c r="M42">
        <f t="shared" si="12"/>
        <v>40</v>
      </c>
    </row>
    <row r="43" spans="6:37">
      <c r="F43">
        <v>5</v>
      </c>
      <c r="G43">
        <f t="shared" si="9"/>
        <v>5</v>
      </c>
      <c r="H43">
        <f t="shared" si="10"/>
        <v>1</v>
      </c>
      <c r="I43">
        <f>0*H43</f>
        <v>0</v>
      </c>
      <c r="J43">
        <f>J41+I12</f>
        <v>80</v>
      </c>
      <c r="L43">
        <f t="shared" si="11"/>
        <v>1200</v>
      </c>
      <c r="M43">
        <f t="shared" si="12"/>
        <v>80</v>
      </c>
    </row>
    <row r="44" spans="6:37">
      <c r="F44">
        <v>6</v>
      </c>
      <c r="G44">
        <f t="shared" si="9"/>
        <v>6</v>
      </c>
      <c r="H44">
        <f t="shared" si="10"/>
        <v>1</v>
      </c>
      <c r="I44">
        <f>$D$9*H44</f>
        <v>1000</v>
      </c>
      <c r="J44">
        <f>J42+I12</f>
        <v>80</v>
      </c>
      <c r="L44">
        <f t="shared" si="11"/>
        <v>2200</v>
      </c>
      <c r="M44">
        <f t="shared" si="12"/>
        <v>80</v>
      </c>
    </row>
    <row r="45" spans="6:37">
      <c r="F45">
        <v>7</v>
      </c>
      <c r="G45">
        <f t="shared" si="9"/>
        <v>7</v>
      </c>
      <c r="H45">
        <f t="shared" si="10"/>
        <v>1</v>
      </c>
      <c r="I45">
        <f>0*H45</f>
        <v>0</v>
      </c>
      <c r="J45">
        <f>J43+I13</f>
        <v>110</v>
      </c>
      <c r="L45">
        <f t="shared" si="11"/>
        <v>1200</v>
      </c>
      <c r="M45">
        <f t="shared" si="12"/>
        <v>110</v>
      </c>
      <c r="AJ45">
        <f>I65+CONCRETE!M14</f>
        <v>1020</v>
      </c>
      <c r="AK45">
        <f>D21+CONCRETE!M14</f>
        <v>20</v>
      </c>
    </row>
    <row r="46" spans="6:37">
      <c r="F46">
        <v>8</v>
      </c>
      <c r="G46">
        <f t="shared" si="9"/>
        <v>8</v>
      </c>
      <c r="H46">
        <f t="shared" si="10"/>
        <v>1</v>
      </c>
      <c r="I46">
        <f>$D$9*H46</f>
        <v>1000</v>
      </c>
      <c r="J46">
        <f>J44+I13</f>
        <v>110</v>
      </c>
      <c r="L46">
        <f t="shared" si="11"/>
        <v>2200</v>
      </c>
      <c r="M46">
        <f t="shared" si="12"/>
        <v>110</v>
      </c>
      <c r="AJ46">
        <f>I66+CONCRETE!M14</f>
        <v>1020</v>
      </c>
      <c r="AK46">
        <f>J66-CONCRETE!M14</f>
        <v>240</v>
      </c>
    </row>
    <row r="47" spans="6:37">
      <c r="F47">
        <v>9</v>
      </c>
      <c r="G47">
        <f t="shared" si="9"/>
        <v>9</v>
      </c>
      <c r="H47">
        <f t="shared" si="10"/>
        <v>1</v>
      </c>
      <c r="I47">
        <f>0*H47</f>
        <v>0</v>
      </c>
      <c r="J47">
        <f>J45+I14</f>
        <v>150</v>
      </c>
      <c r="L47">
        <f t="shared" si="11"/>
        <v>1200</v>
      </c>
      <c r="M47">
        <f t="shared" si="12"/>
        <v>150</v>
      </c>
      <c r="AJ47">
        <f>AJ46+D23-2*CONCRETE!M14</f>
        <v>1180</v>
      </c>
      <c r="AK47">
        <f>AK46</f>
        <v>240</v>
      </c>
    </row>
    <row r="48" spans="6:37">
      <c r="F48">
        <v>10</v>
      </c>
      <c r="G48">
        <f t="shared" si="9"/>
        <v>10</v>
      </c>
      <c r="H48">
        <f t="shared" si="10"/>
        <v>1</v>
      </c>
      <c r="I48">
        <f>$D$9*H48</f>
        <v>1000</v>
      </c>
      <c r="J48">
        <f>J46+I14</f>
        <v>150</v>
      </c>
      <c r="L48">
        <f t="shared" si="11"/>
        <v>2200</v>
      </c>
      <c r="M48">
        <f t="shared" si="12"/>
        <v>150</v>
      </c>
      <c r="AJ48">
        <f>AJ47</f>
        <v>1180</v>
      </c>
      <c r="AK48">
        <f>AK45</f>
        <v>20</v>
      </c>
    </row>
    <row r="49" spans="6:37">
      <c r="F49">
        <v>11</v>
      </c>
      <c r="G49">
        <f t="shared" si="9"/>
        <v>11</v>
      </c>
      <c r="H49">
        <f t="shared" si="10"/>
        <v>1</v>
      </c>
      <c r="I49">
        <f>0*H49</f>
        <v>0</v>
      </c>
      <c r="J49">
        <f>J47+I15</f>
        <v>180</v>
      </c>
      <c r="L49">
        <f t="shared" si="11"/>
        <v>1200</v>
      </c>
      <c r="M49">
        <f t="shared" si="12"/>
        <v>180</v>
      </c>
      <c r="AJ49">
        <f>AJ45</f>
        <v>1020</v>
      </c>
      <c r="AK49">
        <f>AK45</f>
        <v>20</v>
      </c>
    </row>
    <row r="50" spans="6:37">
      <c r="F50">
        <v>12</v>
      </c>
      <c r="G50">
        <f t="shared" si="9"/>
        <v>12</v>
      </c>
      <c r="H50">
        <f t="shared" si="10"/>
        <v>1</v>
      </c>
      <c r="I50">
        <f>$D$9*H50</f>
        <v>1000</v>
      </c>
      <c r="J50">
        <f>J48+I15</f>
        <v>180</v>
      </c>
      <c r="L50">
        <f t="shared" si="11"/>
        <v>2200</v>
      </c>
      <c r="M50">
        <f t="shared" si="12"/>
        <v>180</v>
      </c>
    </row>
    <row r="51" spans="6:37">
      <c r="F51">
        <v>13</v>
      </c>
      <c r="G51">
        <f t="shared" si="9"/>
        <v>13</v>
      </c>
      <c r="H51">
        <f t="shared" si="10"/>
        <v>1</v>
      </c>
      <c r="I51">
        <f>0*H51</f>
        <v>0</v>
      </c>
      <c r="J51">
        <f>J49+I16</f>
        <v>220</v>
      </c>
      <c r="L51">
        <f t="shared" si="11"/>
        <v>1200</v>
      </c>
      <c r="M51">
        <f t="shared" si="12"/>
        <v>220</v>
      </c>
    </row>
    <row r="52" spans="6:37">
      <c r="F52">
        <v>14</v>
      </c>
      <c r="G52">
        <f>IF(F52&lt;$D$11*2,F52,IF(F52=$D$11*2,F52,""))</f>
        <v>14</v>
      </c>
      <c r="H52">
        <f t="shared" si="10"/>
        <v>1</v>
      </c>
      <c r="I52">
        <f>$D$9*H52</f>
        <v>1000</v>
      </c>
      <c r="J52">
        <f>J50+I16</f>
        <v>220</v>
      </c>
      <c r="L52">
        <f t="shared" si="11"/>
        <v>2200</v>
      </c>
      <c r="M52">
        <f t="shared" si="12"/>
        <v>220</v>
      </c>
      <c r="AJ52">
        <f>I65+GEOMETRY!H58+GEOMETRY!H53/2</f>
        <v>1028</v>
      </c>
      <c r="AK52">
        <f>GEOMETRY!H66</f>
        <v>24</v>
      </c>
    </row>
    <row r="53" spans="6:37">
      <c r="F53">
        <v>15</v>
      </c>
      <c r="G53" t="str">
        <f t="shared" si="9"/>
        <v/>
      </c>
      <c r="H53">
        <f t="shared" si="10"/>
        <v>0</v>
      </c>
      <c r="I53">
        <f>0*H53</f>
        <v>0</v>
      </c>
      <c r="J53">
        <f>J51+I17</f>
        <v>260</v>
      </c>
      <c r="L53">
        <f t="shared" si="11"/>
        <v>1200</v>
      </c>
      <c r="M53">
        <f t="shared" si="12"/>
        <v>260</v>
      </c>
      <c r="AJ53">
        <f>AJ52</f>
        <v>1028</v>
      </c>
      <c r="AK53">
        <f>D10-GEOMETRY!H58+D211</f>
        <v>236</v>
      </c>
    </row>
    <row r="54" spans="6:37">
      <c r="F54">
        <v>16</v>
      </c>
      <c r="G54" t="str">
        <f t="shared" si="9"/>
        <v/>
      </c>
      <c r="H54">
        <f t="shared" si="10"/>
        <v>0</v>
      </c>
      <c r="I54">
        <f>$D$9*H54</f>
        <v>0</v>
      </c>
      <c r="J54">
        <f>J52+I17</f>
        <v>260</v>
      </c>
      <c r="L54">
        <f t="shared" si="11"/>
        <v>1200</v>
      </c>
      <c r="M54">
        <f t="shared" si="12"/>
        <v>260</v>
      </c>
      <c r="AJ54">
        <f>I67-GEOMETRY!H58-GEOMETRY!H53/2</f>
        <v>1172</v>
      </c>
      <c r="AK54">
        <f>AK52</f>
        <v>24</v>
      </c>
    </row>
    <row r="55" spans="6:37">
      <c r="F55">
        <v>17</v>
      </c>
      <c r="G55" t="str">
        <f t="shared" si="9"/>
        <v/>
      </c>
      <c r="H55">
        <f t="shared" si="10"/>
        <v>0</v>
      </c>
      <c r="I55">
        <f>0*H55</f>
        <v>0</v>
      </c>
      <c r="J55" t="e">
        <f>J53+I18</f>
        <v>#VALUE!</v>
      </c>
      <c r="L55">
        <f t="shared" si="11"/>
        <v>1200</v>
      </c>
      <c r="M55" t="e">
        <f t="shared" si="12"/>
        <v>#VALUE!</v>
      </c>
      <c r="AJ55">
        <f>AJ54</f>
        <v>1172</v>
      </c>
      <c r="AK55">
        <f>AK53</f>
        <v>236</v>
      </c>
    </row>
    <row r="56" spans="6:37">
      <c r="F56">
        <v>18</v>
      </c>
      <c r="G56" t="str">
        <f t="shared" si="9"/>
        <v/>
      </c>
      <c r="H56">
        <f t="shared" si="10"/>
        <v>0</v>
      </c>
      <c r="I56">
        <f>$D$9*H56</f>
        <v>0</v>
      </c>
      <c r="J56" t="e">
        <f>J54+I18</f>
        <v>#VALUE!</v>
      </c>
      <c r="L56">
        <f t="shared" si="11"/>
        <v>1200</v>
      </c>
      <c r="M56" t="e">
        <f t="shared" si="12"/>
        <v>#VALUE!</v>
      </c>
    </row>
    <row r="57" spans="6:37">
      <c r="F57">
        <v>19</v>
      </c>
      <c r="G57" t="str">
        <f t="shared" si="9"/>
        <v/>
      </c>
      <c r="H57">
        <f t="shared" si="10"/>
        <v>0</v>
      </c>
      <c r="I57">
        <f>0*H57</f>
        <v>0</v>
      </c>
      <c r="J57" t="e">
        <f>J55+I19</f>
        <v>#VALUE!</v>
      </c>
      <c r="L57">
        <f t="shared" si="11"/>
        <v>1200</v>
      </c>
      <c r="M57" t="e">
        <f t="shared" si="12"/>
        <v>#VALUE!</v>
      </c>
    </row>
    <row r="58" spans="6:37">
      <c r="F58">
        <v>20</v>
      </c>
      <c r="G58" t="str">
        <f t="shared" si="9"/>
        <v/>
      </c>
      <c r="H58">
        <f t="shared" si="10"/>
        <v>0</v>
      </c>
      <c r="I58">
        <f>$D$9*H58</f>
        <v>0</v>
      </c>
      <c r="J58" t="e">
        <f>J56+I19</f>
        <v>#VALUE!</v>
      </c>
      <c r="L58">
        <f t="shared" si="11"/>
        <v>1200</v>
      </c>
      <c r="M58" t="e">
        <f t="shared" si="12"/>
        <v>#VALUE!</v>
      </c>
    </row>
    <row r="59" spans="6:37">
      <c r="F59">
        <v>21</v>
      </c>
      <c r="G59" t="str">
        <f t="shared" si="9"/>
        <v/>
      </c>
      <c r="H59">
        <f t="shared" si="10"/>
        <v>0</v>
      </c>
      <c r="I59">
        <f>0*H59</f>
        <v>0</v>
      </c>
      <c r="J59" t="e">
        <f>J57+I20</f>
        <v>#VALUE!</v>
      </c>
      <c r="L59">
        <f t="shared" si="11"/>
        <v>1200</v>
      </c>
      <c r="M59" t="e">
        <f t="shared" si="12"/>
        <v>#VALUE!</v>
      </c>
    </row>
    <row r="60" spans="6:37">
      <c r="F60">
        <v>22</v>
      </c>
      <c r="G60" t="str">
        <f>IF(F60&lt;$D$11*2,F60,IF(F60=$D$11*2,F60,""))</f>
        <v/>
      </c>
      <c r="H60">
        <f t="shared" si="10"/>
        <v>0</v>
      </c>
      <c r="I60">
        <f>$D$9*H60</f>
        <v>0</v>
      </c>
      <c r="J60" t="e">
        <f>J58+I20</f>
        <v>#VALUE!</v>
      </c>
      <c r="L60">
        <f t="shared" si="11"/>
        <v>1200</v>
      </c>
      <c r="M60" t="e">
        <f t="shared" si="12"/>
        <v>#VALUE!</v>
      </c>
    </row>
    <row r="61" spans="6:37">
      <c r="F61">
        <v>23</v>
      </c>
      <c r="I61">
        <v>0</v>
      </c>
      <c r="J61">
        <f>D10</f>
        <v>260</v>
      </c>
      <c r="L61">
        <f>I61+$D$9+$D$23</f>
        <v>1200</v>
      </c>
      <c r="M61">
        <f t="shared" si="12"/>
        <v>260</v>
      </c>
    </row>
    <row r="62" spans="6:37">
      <c r="F62">
        <v>24</v>
      </c>
      <c r="I62">
        <f>D9</f>
        <v>1000</v>
      </c>
      <c r="J62">
        <f>D10</f>
        <v>260</v>
      </c>
      <c r="L62">
        <f t="shared" si="11"/>
        <v>2200</v>
      </c>
      <c r="M62">
        <f t="shared" si="12"/>
        <v>260</v>
      </c>
    </row>
    <row r="65" spans="6:14">
      <c r="I65">
        <f>I62</f>
        <v>1000</v>
      </c>
      <c r="J65">
        <f>D21</f>
        <v>0</v>
      </c>
    </row>
    <row r="66" spans="6:14">
      <c r="I66">
        <f>I65</f>
        <v>1000</v>
      </c>
      <c r="J66">
        <f>J62</f>
        <v>260</v>
      </c>
    </row>
    <row r="67" spans="6:14">
      <c r="I67">
        <f>L61</f>
        <v>1200</v>
      </c>
      <c r="J67">
        <f>D21</f>
        <v>0</v>
      </c>
    </row>
    <row r="68" spans="6:14">
      <c r="I68">
        <f>L61</f>
        <v>1200</v>
      </c>
      <c r="J68">
        <f>M61</f>
        <v>260</v>
      </c>
    </row>
    <row r="73" spans="6:14">
      <c r="F73" t="s">
        <v>323</v>
      </c>
      <c r="I73">
        <f>I62-GEOMETRY!H74</f>
        <v>730</v>
      </c>
      <c r="J73">
        <f>D16</f>
        <v>45</v>
      </c>
      <c r="M73">
        <f>L39-GEOMETRY!H73</f>
        <v>1020</v>
      </c>
      <c r="N73">
        <f>J73+10</f>
        <v>55</v>
      </c>
    </row>
    <row r="74" spans="6:14">
      <c r="I74">
        <f>I73+GEOMETRY!H39</f>
        <v>1180</v>
      </c>
      <c r="J74">
        <f>D16</f>
        <v>45</v>
      </c>
      <c r="M74">
        <f>L39+GEOMETRY!H74</f>
        <v>1470</v>
      </c>
      <c r="N74">
        <f>J74+10</f>
        <v>55</v>
      </c>
    </row>
    <row r="77" spans="6:14">
      <c r="I77">
        <f>I73</f>
        <v>730</v>
      </c>
      <c r="J77">
        <f>D10-D16</f>
        <v>215</v>
      </c>
      <c r="M77">
        <f>M73</f>
        <v>1020</v>
      </c>
      <c r="N77">
        <f>D10-D16+10</f>
        <v>225</v>
      </c>
    </row>
    <row r="78" spans="6:14">
      <c r="I78">
        <f>I74</f>
        <v>1180</v>
      </c>
      <c r="J78">
        <f>D10-D16</f>
        <v>215</v>
      </c>
      <c r="M78">
        <f>M74</f>
        <v>1470</v>
      </c>
      <c r="N78">
        <f>D10-D16+10</f>
        <v>225</v>
      </c>
    </row>
    <row r="81" spans="6:10">
      <c r="F81" t="s">
        <v>324</v>
      </c>
    </row>
    <row r="82" spans="6:10">
      <c r="I82">
        <f>I62-(D22-D23)/2</f>
        <v>970</v>
      </c>
      <c r="J82">
        <f>D21</f>
        <v>0</v>
      </c>
    </row>
    <row r="83" spans="6:10">
      <c r="I83">
        <f>I62+D23+(D22-D23)/2</f>
        <v>1230</v>
      </c>
      <c r="J83">
        <f>J82</f>
        <v>0</v>
      </c>
    </row>
    <row r="85" spans="6:10">
      <c r="I85">
        <f>I82</f>
        <v>970</v>
      </c>
      <c r="J85">
        <f>0</f>
        <v>0</v>
      </c>
    </row>
    <row r="86" spans="6:10">
      <c r="I86">
        <f>I83</f>
        <v>1230</v>
      </c>
      <c r="J86">
        <f>0</f>
        <v>0</v>
      </c>
    </row>
    <row r="88" spans="6:10">
      <c r="I88">
        <f>I82</f>
        <v>970</v>
      </c>
      <c r="J88">
        <v>0</v>
      </c>
    </row>
    <row r="89" spans="6:10">
      <c r="I89">
        <f>I88</f>
        <v>970</v>
      </c>
      <c r="J89">
        <f>J83</f>
        <v>0</v>
      </c>
    </row>
    <row r="91" spans="6:10">
      <c r="I91">
        <f>I83</f>
        <v>1230</v>
      </c>
      <c r="J91">
        <f>0</f>
        <v>0</v>
      </c>
    </row>
    <row r="92" spans="6:10">
      <c r="I92">
        <f>I83</f>
        <v>1230</v>
      </c>
      <c r="J92">
        <f>J89</f>
        <v>0</v>
      </c>
    </row>
    <row r="95" spans="6:10">
      <c r="F95" t="s">
        <v>327</v>
      </c>
      <c r="I95">
        <f>I65</f>
        <v>1000</v>
      </c>
      <c r="J95">
        <f>D10</f>
        <v>260</v>
      </c>
    </row>
    <row r="96" spans="6:10">
      <c r="I96">
        <f>D9+D23</f>
        <v>1200</v>
      </c>
      <c r="J96">
        <f>J95</f>
        <v>260</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C3107-5948-471F-951A-10C515F48FE9}">
  <sheetPr codeName="Foglio9">
    <pageSetUpPr fitToPage="1"/>
  </sheetPr>
  <dimension ref="A366:T371"/>
  <sheetViews>
    <sheetView showGridLines="0" showRowColHeaders="0" zoomScaleNormal="100" workbookViewId="0">
      <selection activeCell="S60" sqref="S60"/>
    </sheetView>
  </sheetViews>
  <sheetFormatPr defaultRowHeight="12.75"/>
  <cols>
    <col min="20" max="20" width="2.25" customWidth="1"/>
  </cols>
  <sheetData>
    <row r="366" spans="1:1" ht="15">
      <c r="A366" s="185" t="str">
        <f>traduzioni!A180</f>
        <v>NOTES</v>
      </c>
    </row>
    <row r="367" spans="1:1" ht="15" customHeight="1">
      <c r="A367" t="str">
        <f>traduzioni!A181</f>
        <v>Before the construction, all calculation must be verified and approved by the responsible designer.</v>
      </c>
    </row>
    <row r="368" spans="1:1" ht="15" customHeight="1">
      <c r="A368" t="str">
        <f>traduzioni!A182</f>
        <v>Mechanical resistance values and geometry refer to product certification.</v>
      </c>
    </row>
    <row r="369" spans="1:20" ht="15" customHeight="1">
      <c r="A369" t="str">
        <f>traduzioni!A183</f>
        <v>Verification of concrete side anchoring system capacity must be carried out separately following ETA-22/0806 - Annex E1.</v>
      </c>
    </row>
    <row r="370" spans="1:20" ht="30" customHeight="1">
      <c r="A370" s="211" t="str">
        <f>traduzioni!A184</f>
        <v>All calculations must be verified and approved by the responsible designer prior to execution. The designer are responsible to verify, at each use, the conformity of the data to the regulations in force and to the project. The ultimate responsibility for choosing the appropriate product for a specific application lies with the designer.</v>
      </c>
      <c r="B370" s="211"/>
      <c r="C370" s="211"/>
      <c r="D370" s="211"/>
      <c r="E370" s="211"/>
      <c r="F370" s="211"/>
      <c r="G370" s="211"/>
      <c r="H370" s="211"/>
      <c r="I370" s="211"/>
      <c r="J370" s="211"/>
      <c r="K370" s="211"/>
      <c r="L370" s="211"/>
      <c r="M370" s="211"/>
      <c r="N370" s="211"/>
      <c r="O370" s="211"/>
      <c r="P370" s="211"/>
      <c r="Q370" s="211"/>
      <c r="R370" s="211"/>
      <c r="S370" s="211"/>
      <c r="T370" s="211"/>
    </row>
    <row r="371" spans="1:20" ht="80.099999999999994" customHeight="1">
      <c r="A371" s="211" t="str">
        <f>traduzioni!A185</f>
        <v>The results obtained in this sheet are of an indicative nature and should be considered as a technical-commercial service within the Rotho Blaas srl sales activity. The number and thickness of the inserts must be determined by the responsible designer who is required to check the accuracy of the results deriving from the processing of the data entered. Rotho Blaas srl does not guarantee compliance with current legislation and the design of the calculations made through this spreadsheet. In particular, following the amendment of the pertinent provisions such as, for example standards, approvals, etc. the program may become, in part or in whole, invalid. Rotho Blaas srl does not guarantee and will not be responsible for direct or indirect damages or consequences or other, in any way (warranty for defects, warranty for malfunction, product or legal responsibility, etc.). The User declares to use the spreadsheet as a professional with the obligation and responsibility to verify that the spreadsheet meets his specific needs.</v>
      </c>
      <c r="B371" s="211"/>
      <c r="C371" s="211"/>
      <c r="D371" s="211"/>
      <c r="E371" s="211"/>
      <c r="F371" s="211"/>
      <c r="G371" s="211"/>
      <c r="H371" s="211"/>
      <c r="I371" s="211"/>
      <c r="J371" s="211"/>
      <c r="K371" s="211"/>
      <c r="L371" s="211"/>
      <c r="M371" s="211"/>
      <c r="N371" s="211"/>
      <c r="O371" s="211"/>
      <c r="P371" s="211"/>
      <c r="Q371" s="211"/>
      <c r="R371" s="211"/>
      <c r="S371" s="211"/>
      <c r="T371" s="211"/>
    </row>
  </sheetData>
  <sheetProtection algorithmName="SHA-512" hashValue="NC4VivHLstfrWfkB/YlMjau0JGqo+e2D3rZBpUcJOH5MwqEgaiy2dv+u6a4ZHrs9BbVzux83z9z1fP2GT+DIVQ==" saltValue="q05tysXFcN69VODNlj6dfw==" spinCount="100000" sheet="1" objects="1" scenarios="1" selectLockedCells="1"/>
  <mergeCells count="2">
    <mergeCell ref="A370:T370"/>
    <mergeCell ref="A371:T371"/>
  </mergeCells>
  <pageMargins left="0.7" right="0.7" top="0.75" bottom="0.75" header="0.3" footer="0.3"/>
  <pageSetup paperSize="9" scale="44" fitToHeight="0" orientation="portrait" horizontalDpi="1200" verticalDpi="1200" r:id="rId1"/>
  <headerFooter>
    <oddHeader xml:space="preserve">&amp;RDate: &amp;D - Time: &amp;T&amp;L </oddHeader>
    <oddFooter xml:space="preserve">&amp;RPage &amp;P of &amp;N&amp;L </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847B8-E3DE-4F72-B1A6-05FBB0E882AC}">
  <sheetPr codeName="Foglio11"/>
  <dimension ref="A1:K63"/>
  <sheetViews>
    <sheetView showGridLines="0" showRowColHeaders="0" tabSelected="1" zoomScaleNormal="100" workbookViewId="0">
      <selection activeCell="E3" sqref="E3:E4"/>
    </sheetView>
  </sheetViews>
  <sheetFormatPr defaultColWidth="0" defaultRowHeight="12.75" zeroHeight="1"/>
  <cols>
    <col min="1" max="2" width="5.625" customWidth="1"/>
    <col min="3" max="3" width="18.625" customWidth="1"/>
    <col min="4" max="4" width="78.625" customWidth="1"/>
    <col min="5" max="5" width="18.625" customWidth="1"/>
    <col min="6" max="6" width="5.625" customWidth="1"/>
  </cols>
  <sheetData>
    <row r="1" spans="1:11">
      <c r="A1" s="157"/>
      <c r="B1" s="157"/>
      <c r="C1" s="157"/>
      <c r="D1" s="157"/>
      <c r="E1" s="157"/>
      <c r="F1" s="157"/>
    </row>
    <row r="2" spans="1:11" ht="12.95" customHeight="1">
      <c r="A2" s="157"/>
      <c r="B2" s="157"/>
      <c r="C2" s="157"/>
      <c r="D2" s="214" t="s">
        <v>1432</v>
      </c>
      <c r="E2" s="158" t="str">
        <f>traduzioni!A216</f>
        <v>Language</v>
      </c>
      <c r="F2" s="157"/>
    </row>
    <row r="3" spans="1:11">
      <c r="A3" s="157"/>
      <c r="B3" s="157"/>
      <c r="C3" s="157"/>
      <c r="D3" s="214"/>
      <c r="E3" s="215" t="s">
        <v>388</v>
      </c>
      <c r="F3" s="157"/>
    </row>
    <row r="4" spans="1:11">
      <c r="A4" s="157"/>
      <c r="B4" s="157"/>
      <c r="C4" s="157"/>
      <c r="D4" s="214"/>
      <c r="E4" s="215"/>
      <c r="F4" s="157"/>
    </row>
    <row r="5" spans="1:11">
      <c r="A5" s="157"/>
      <c r="B5" s="157"/>
      <c r="C5" s="157"/>
      <c r="D5" s="157"/>
      <c r="E5" s="157"/>
      <c r="F5" s="157"/>
    </row>
    <row r="6" spans="1:11" ht="15.75">
      <c r="A6" s="157"/>
      <c r="B6" s="157"/>
      <c r="C6" s="157"/>
      <c r="D6" s="159" t="s">
        <v>480</v>
      </c>
      <c r="E6" s="157"/>
      <c r="F6" s="157"/>
    </row>
    <row r="7" spans="1:11">
      <c r="A7" s="157"/>
      <c r="B7" s="157"/>
      <c r="C7" s="213" t="str">
        <f>traduzioni!A190</f>
        <v>GENERAL TERMS AND CONDITIONS OF THE LICENSE AGREEMENT FOR THE USE OF THE SPREADSHEET "TC_FUSION_CALCULATOR"</v>
      </c>
      <c r="D7" s="213"/>
      <c r="E7" s="213"/>
      <c r="F7" s="157"/>
    </row>
    <row r="8" spans="1:11" ht="18" customHeight="1">
      <c r="A8" s="157"/>
      <c r="B8" s="157"/>
      <c r="C8" s="213"/>
      <c r="D8" s="213"/>
      <c r="E8" s="213"/>
      <c r="F8" s="157"/>
    </row>
    <row r="9" spans="1:11" ht="18" customHeight="1">
      <c r="A9" s="157"/>
      <c r="B9" s="157"/>
      <c r="C9" s="213"/>
      <c r="D9" s="213"/>
      <c r="E9" s="213"/>
      <c r="F9" s="157"/>
    </row>
    <row r="10" spans="1:11">
      <c r="A10" s="157"/>
      <c r="B10" s="157"/>
      <c r="C10" s="157"/>
      <c r="D10" s="157"/>
      <c r="E10" s="157"/>
      <c r="F10" s="157"/>
    </row>
    <row r="11" spans="1:11">
      <c r="A11" s="68"/>
      <c r="B11" s="68"/>
      <c r="C11" s="68"/>
      <c r="D11" s="68"/>
      <c r="E11" s="68"/>
      <c r="F11" s="68"/>
    </row>
    <row r="12" spans="1:11" ht="14.25">
      <c r="A12" s="68"/>
      <c r="B12" s="160" t="str">
        <f>traduzioni!A191</f>
        <v>1. SUBJECT</v>
      </c>
      <c r="C12" s="68"/>
      <c r="D12" s="68"/>
      <c r="E12" s="68"/>
      <c r="F12" s="68"/>
    </row>
    <row r="13" spans="1:11">
      <c r="A13" s="68"/>
      <c r="B13" s="68"/>
      <c r="C13" s="161"/>
      <c r="D13" s="161"/>
      <c r="E13" s="161"/>
      <c r="F13" s="68"/>
    </row>
    <row r="14" spans="1:11" ht="200.1" customHeight="1">
      <c r="A14" s="68"/>
      <c r="B14" s="68"/>
      <c r="C14" s="212" t="str">
        <f>traduzioni!A192</f>
        <v>With these General Terms and Conditions (or "Agreement"), ROTHO BLAAS SRL, with registered office at I-39040 Cortaccia (BZ), Via dell'Adige 2/1 (hereinafter "RB") grants the user the non-exclusive and revocable right to use the spreadsheet (hereinafter "XLS") free of charge under the following conditions and during the term of this Agreement.
In any case, RB does not guarantee the legal and design conformity of the calculations, as RB intends to provide only an indicative calculation tool to be considered as a technical-commercial service within the sales activity.
XLS allows the user to perform static calculations only for the products and materials indicated in each of its sections. This Agreement expressly prohibits to use XLS to manufacture products that are not indicated.
This Agreement therefore governs the relationship between the User and RB with respect to the use of this spreadsheet. By downloading and using XLS, the user accepts this Agreement and the conditions set out herein.</v>
      </c>
      <c r="D14" s="212"/>
      <c r="E14" s="212"/>
      <c r="F14" s="68"/>
      <c r="K14" s="155"/>
    </row>
    <row r="15" spans="1:11">
      <c r="A15" s="68"/>
      <c r="B15" s="68"/>
      <c r="C15" s="163"/>
      <c r="D15" s="161"/>
      <c r="E15" s="161"/>
      <c r="F15" s="68"/>
    </row>
    <row r="16" spans="1:11" ht="14.25">
      <c r="A16" s="68"/>
      <c r="B16" s="160" t="str">
        <f>traduzioni!A193</f>
        <v>2. TECHNICAL-STANDARDS REFERENCES</v>
      </c>
      <c r="C16" s="163"/>
      <c r="D16" s="161"/>
      <c r="E16" s="161"/>
      <c r="F16" s="68"/>
    </row>
    <row r="17" spans="1:9">
      <c r="A17" s="68"/>
      <c r="B17" s="68"/>
      <c r="C17" s="163"/>
      <c r="D17" s="161"/>
      <c r="E17" s="161"/>
      <c r="F17" s="68"/>
    </row>
    <row r="18" spans="1:9" ht="39.950000000000003" customHeight="1">
      <c r="A18" s="68"/>
      <c r="B18" s="164"/>
      <c r="C18" s="218" t="str">
        <f>traduzioni!A194</f>
        <v>RB carried out the checks according to the Limit State method in accordance with EN 1995-1-1 Eurocode 5 - Design of timber structures and EN 1992-1-1 Eurocode 2 - Design of concrete structures. For the mechanical resistance values and the geometry of the connectors, reference was made to ETA-22/0806.</v>
      </c>
      <c r="D18" s="218"/>
      <c r="E18" s="218"/>
      <c r="F18" s="68"/>
      <c r="I18" s="156"/>
    </row>
    <row r="19" spans="1:9">
      <c r="A19" s="68"/>
      <c r="B19" s="68"/>
      <c r="C19" s="162"/>
      <c r="D19" s="161"/>
      <c r="E19" s="161"/>
      <c r="F19" s="68"/>
    </row>
    <row r="20" spans="1:9" ht="14.25">
      <c r="A20" s="68"/>
      <c r="B20" s="160" t="str">
        <f>traduzioni!A195</f>
        <v>3. RB RIGHTS AND OBLIGATIONS</v>
      </c>
      <c r="C20" s="163"/>
      <c r="D20" s="161"/>
      <c r="E20" s="161"/>
      <c r="F20" s="68"/>
    </row>
    <row r="21" spans="1:9">
      <c r="A21" s="68"/>
      <c r="B21" s="68"/>
      <c r="C21" s="163"/>
      <c r="D21" s="161"/>
      <c r="E21" s="161"/>
      <c r="F21" s="68"/>
    </row>
    <row r="22" spans="1:9" ht="153" customHeight="1">
      <c r="A22" s="68"/>
      <c r="B22" s="68"/>
      <c r="C22" s="212" t="str">
        <f>traduzioni!A196</f>
        <v>RB:
a) makes available XLS to the User free of charge, as it is;
b) does not provide the user with any technical support for using XLS;
c) does not guarantee that XLS complies with the regulations in force or with the calculations design made using it. In particular, as a result of changes to the relevant provisions, such as standards, approvals, etc., the spreadsheet may become invalid in part or in full.
d) while reserving the right to update, revise and develop XLS, RB does not assume any obligation towards the user to verify, correct, complete or update the spreadsheet and/or make the updates available to the user.</v>
      </c>
      <c r="D22" s="212"/>
      <c r="E22" s="212"/>
      <c r="F22" s="68"/>
    </row>
    <row r="23" spans="1:9">
      <c r="A23" s="68"/>
      <c r="B23" s="68"/>
      <c r="C23" s="162"/>
      <c r="D23" s="161"/>
      <c r="E23" s="161"/>
      <c r="F23" s="68"/>
    </row>
    <row r="24" spans="1:9" ht="14.25">
      <c r="A24" s="68"/>
      <c r="B24" s="160" t="str">
        <f>traduzioni!A197</f>
        <v>4. USER RIGHTS AND OBLIGATIONS</v>
      </c>
      <c r="C24" s="161"/>
      <c r="D24" s="161"/>
      <c r="E24" s="161"/>
      <c r="F24" s="68"/>
    </row>
    <row r="25" spans="1:9">
      <c r="A25" s="68"/>
      <c r="B25" s="68"/>
      <c r="C25" s="162"/>
      <c r="D25" s="161"/>
      <c r="E25" s="161"/>
      <c r="F25" s="68"/>
    </row>
    <row r="26" spans="1:9" ht="306" customHeight="1">
      <c r="A26" s="68"/>
      <c r="B26" s="68"/>
      <c r="C26" s="212" t="str">
        <f>traduzioni!A198</f>
        <v>The User declares to use the spreadsheet as a professional excluding any use as a consumer, and to always comply with the following obligations and prohibitions:
a) obligation and responsibility to verify that XLS meets the specific needs and that it is compatible with the hardware-software-systems;
b) obligation to verify, for each use, the compliance of the calculations made through XLS to the regulations in force and to the project;
c) obligation to verify the legal compliance of the calculations made through the Software;
d) obligation to use the latest version of XLS made available by the RB contact person, checking at each use for any updates that have occurred;
e) prohibition to use XLS for products not indicated in each calculation section;
f) obligation to use updated antivirus software that complies with the industry standard in force;
g) obligation not to assign the licence to use XLS to third parties and/or in any other way transfer, pledge or lease, rent or share with others or sublicense the rights to use the spreadsheet;
h) prohibition to modify or vary XLS in any way, including through third parties.
The user commits himself to ask the RB contact person for the last version of the XLS.</v>
      </c>
      <c r="D26" s="212"/>
      <c r="E26" s="212"/>
      <c r="F26" s="68"/>
    </row>
    <row r="27" spans="1:9">
      <c r="A27" s="68"/>
      <c r="B27" s="68"/>
      <c r="C27" s="162"/>
      <c r="D27" s="161"/>
      <c r="E27" s="161"/>
      <c r="F27" s="68"/>
    </row>
    <row r="28" spans="1:9" ht="14.25">
      <c r="A28" s="68"/>
      <c r="B28" s="160" t="str">
        <f>traduzioni!A199</f>
        <v>5. COPYRIGHTS</v>
      </c>
      <c r="C28" s="161"/>
      <c r="D28" s="161"/>
      <c r="E28" s="161"/>
      <c r="F28" s="68"/>
    </row>
    <row r="29" spans="1:9">
      <c r="A29" s="68"/>
      <c r="B29" s="68"/>
      <c r="C29" s="162"/>
      <c r="D29" s="161"/>
      <c r="E29" s="161"/>
      <c r="F29" s="68"/>
    </row>
    <row r="30" spans="1:9" ht="63.95" customHeight="1">
      <c r="A30" s="68"/>
      <c r="B30" s="68"/>
      <c r="C30" s="212" t="str">
        <f>traduzioni!A200</f>
        <v>The copyrights on the formulations referred to in the spreadsheet and all the intellectual and industrial property rights underlying them (such as, but not limited to: trademarks, patents, trade secrets, know-how, confidential information) are and remain the exclusive property of RB. 
This agreement does not transfer any of the above rights to the user.</v>
      </c>
      <c r="D30" s="212"/>
      <c r="E30" s="212"/>
      <c r="F30" s="68"/>
    </row>
    <row r="31" spans="1:9">
      <c r="A31" s="68"/>
      <c r="B31" s="68"/>
      <c r="C31" s="162"/>
      <c r="D31" s="161"/>
      <c r="E31" s="161"/>
      <c r="F31" s="68"/>
    </row>
    <row r="32" spans="1:9" ht="14.25">
      <c r="A32" s="68"/>
      <c r="B32" s="160" t="str">
        <f>traduzioni!A201</f>
        <v>6. DURATION, WITHDRAWAL AND TERMINATION</v>
      </c>
      <c r="C32" s="161"/>
      <c r="D32" s="161"/>
      <c r="E32" s="161"/>
      <c r="F32" s="68"/>
    </row>
    <row r="33" spans="1:6">
      <c r="A33" s="68"/>
      <c r="B33" s="68"/>
      <c r="C33" s="162"/>
      <c r="D33" s="161"/>
      <c r="E33" s="161"/>
      <c r="F33" s="68"/>
    </row>
    <row r="34" spans="1:6" ht="102" customHeight="1">
      <c r="A34" s="68"/>
      <c r="B34" s="68"/>
      <c r="C34" s="212" t="str">
        <f>traduzioni!A202</f>
        <v>These general conditions and, consequently, the licence to use the spreadsheet, are valid from the moment of downloading it until the termination of its use.
The user may withdraw from this Agreement at any time by deleting the XLS and all copies from its systems.
RB may withdraw from this Agreement and deactivate the service in the event of a breach of any of the provisions governing the license of use. In the event that RB notifies its termination, the user shall remove the spreadsheet and any copies thereof from its systems.</v>
      </c>
      <c r="D34" s="212"/>
      <c r="E34" s="212"/>
      <c r="F34" s="68"/>
    </row>
    <row r="35" spans="1:6">
      <c r="A35" s="68"/>
      <c r="B35" s="68"/>
      <c r="C35" s="162"/>
      <c r="D35" s="161"/>
      <c r="E35" s="161"/>
      <c r="F35" s="68"/>
    </row>
    <row r="36" spans="1:6" ht="14.25">
      <c r="A36" s="68"/>
      <c r="B36" s="160" t="str">
        <f>traduzioni!A203</f>
        <v>7. RESPONSIBILITY</v>
      </c>
      <c r="C36" s="161"/>
      <c r="D36" s="161"/>
      <c r="E36" s="161"/>
      <c r="F36" s="68"/>
    </row>
    <row r="37" spans="1:6">
      <c r="A37" s="68"/>
      <c r="B37" s="68"/>
      <c r="C37" s="162"/>
      <c r="D37" s="161"/>
      <c r="E37" s="161"/>
      <c r="F37" s="68"/>
    </row>
    <row r="38" spans="1:6" ht="280.5" customHeight="1">
      <c r="A38" s="68"/>
      <c r="B38" s="68"/>
      <c r="C38" s="212" t="str">
        <f>traduzioni!A204</f>
        <v>The user is solely responsible for the use of XLS, including, but not limited to, all calculations, printouts, export data made with it and/or for entry errors, protection of data files and maintenance and in general for any use of the spreadsheet.
RB does not guarantee and in no case can be held responsible for damages, losses and costs or other consequences, for any reason (warranty for defects, warranty for malfunction, product or legal responsibility, etc.) deriving from:
•   use of XLS, calculations made, compliance with current legislation, with the design or other User needs;
•   hardware and software compatibility, viruses, malfunctions, defects, errors or gaps;
•   failure to update the spreadsheet and/or interruption of the availability of the spreadsheet and/or termination of the agreement for any reason;
•   infringement of intellectual property rights of third parties.
The user confirms to have understood and accepted the disclaimers and limitations of liability and claim of this Agreement. The user also confirms that the spreadsheet is available for free, that the exclusions and limitations are fundamental elements of this Agreement and that RB does not make its spreadsheet available to the user if the exclusions or limitations are deleted or modified in favour of the user.</v>
      </c>
      <c r="D38" s="212"/>
      <c r="E38" s="212"/>
      <c r="F38" s="68"/>
    </row>
    <row r="39" spans="1:6">
      <c r="A39" s="68"/>
      <c r="B39" s="68"/>
      <c r="C39" s="162"/>
      <c r="D39" s="161"/>
      <c r="E39" s="161"/>
      <c r="F39" s="68"/>
    </row>
    <row r="40" spans="1:6" ht="14.25">
      <c r="A40" s="68"/>
      <c r="B40" s="160" t="str">
        <f>traduzioni!A205</f>
        <v>8. REFUND</v>
      </c>
      <c r="C40" s="161"/>
      <c r="D40" s="161"/>
      <c r="E40" s="161"/>
      <c r="F40" s="68"/>
    </row>
    <row r="41" spans="1:6">
      <c r="A41" s="68"/>
      <c r="B41" s="68"/>
      <c r="C41" s="162"/>
      <c r="D41" s="161"/>
      <c r="E41" s="161"/>
      <c r="F41" s="68"/>
    </row>
    <row r="42" spans="1:6" ht="51" customHeight="1">
      <c r="A42" s="68"/>
      <c r="B42" s="68"/>
      <c r="C42" s="212" t="str">
        <f>traduzioni!A206</f>
        <v>The user agrees to indemnify and hold harmless RB, its subsidiaries and its or its officers, directors, employees, successors and appointees (each individually, ""Beneficiary"", collectively, the ""Beneficiaries"") for the costs incurred in relation to claims made by third parties for damages or losses deriving from the use of the spreadsheet by the user (including, but not limited to, fees and management costs incurred by RB).</v>
      </c>
      <c r="D42" s="212"/>
      <c r="E42" s="212"/>
      <c r="F42" s="68"/>
    </row>
    <row r="43" spans="1:6">
      <c r="A43" s="68"/>
      <c r="B43" s="68"/>
      <c r="C43" s="162"/>
      <c r="D43" s="161"/>
      <c r="E43" s="161"/>
      <c r="F43" s="68"/>
    </row>
    <row r="44" spans="1:6" ht="14.25">
      <c r="A44" s="68"/>
      <c r="B44" s="160" t="str">
        <f>traduzioni!A207</f>
        <v>9. MISCELLANEOUS</v>
      </c>
      <c r="C44" s="161"/>
      <c r="D44" s="161"/>
      <c r="E44" s="161"/>
      <c r="F44" s="68"/>
    </row>
    <row r="45" spans="1:6">
      <c r="A45" s="68"/>
      <c r="B45" s="68"/>
      <c r="C45" s="162"/>
      <c r="D45" s="161"/>
      <c r="E45" s="161"/>
      <c r="F45" s="68"/>
    </row>
    <row r="46" spans="1:6" ht="25.5" customHeight="1">
      <c r="A46" s="68"/>
      <c r="B46" s="68"/>
      <c r="C46" s="212" t="str">
        <f>traduzioni!A208</f>
        <v>These general conditions constitute the entire agreement between RB and the user regarding the subject matter and replace all previous, oral or written agreements, as well as any agreements between RB and the user.</v>
      </c>
      <c r="D46" s="212"/>
      <c r="E46" s="212"/>
      <c r="F46" s="68"/>
    </row>
    <row r="47" spans="1:6">
      <c r="A47" s="68"/>
      <c r="B47" s="68"/>
      <c r="C47" s="162"/>
      <c r="D47" s="161"/>
      <c r="E47" s="161"/>
      <c r="F47" s="68"/>
    </row>
    <row r="48" spans="1:6" ht="14.25">
      <c r="A48" s="68"/>
      <c r="B48" s="160" t="str">
        <f>traduzioni!A209</f>
        <v>10. LANGUAGE</v>
      </c>
      <c r="C48" s="161"/>
      <c r="D48" s="161"/>
      <c r="E48" s="161"/>
      <c r="F48" s="68"/>
    </row>
    <row r="49" spans="1:10">
      <c r="A49" s="68"/>
      <c r="B49" s="68"/>
      <c r="C49" s="162"/>
      <c r="D49" s="161"/>
      <c r="E49" s="161"/>
      <c r="F49" s="68"/>
    </row>
    <row r="50" spans="1:10" ht="25.5" customHeight="1">
      <c r="A50" s="68"/>
      <c r="B50" s="68"/>
      <c r="C50" s="212" t="str">
        <f>traduzioni!A210</f>
        <v>In the event of differences between versions of these conditions in the various languages, the Italian text is binding and takes precedence with respect to the translations.</v>
      </c>
      <c r="D50" s="212"/>
      <c r="E50" s="212"/>
      <c r="F50" s="68"/>
    </row>
    <row r="51" spans="1:10">
      <c r="A51" s="68"/>
      <c r="B51" s="68"/>
      <c r="C51" s="162"/>
      <c r="D51" s="161"/>
      <c r="E51" s="161"/>
      <c r="F51" s="68"/>
    </row>
    <row r="52" spans="1:10" ht="14.25">
      <c r="A52" s="68"/>
      <c r="B52" s="160" t="str">
        <f>traduzioni!A211</f>
        <v>11. APPLICABLE LAW AND COURT OF JURISDICTION</v>
      </c>
      <c r="C52" s="161"/>
      <c r="D52" s="161"/>
      <c r="E52" s="161"/>
      <c r="F52" s="68"/>
      <c r="J52" s="165"/>
    </row>
    <row r="53" spans="1:10">
      <c r="A53" s="68"/>
      <c r="B53" s="68"/>
      <c r="C53" s="162"/>
      <c r="D53" s="161"/>
      <c r="E53" s="161"/>
      <c r="F53" s="68"/>
    </row>
    <row r="54" spans="1:10">
      <c r="A54" s="68"/>
      <c r="B54" s="68"/>
      <c r="C54" s="212" t="str">
        <f>traduzioni!A212</f>
        <v>This agreement and any relationship between the parties is governed exclusively by the Italian law. 
Any dispute that may arise between the parties in relation to this agreement, that cannot be resolved amicably, shall be brought before the court of Bolzano.</v>
      </c>
      <c r="D54" s="212"/>
      <c r="E54" s="212"/>
      <c r="F54" s="68"/>
    </row>
    <row r="55" spans="1:10">
      <c r="A55" s="68"/>
      <c r="B55" s="68"/>
      <c r="C55" s="162"/>
      <c r="D55" s="161"/>
      <c r="E55" s="161"/>
      <c r="F55" s="68"/>
    </row>
    <row r="56" spans="1:10" ht="14.25">
      <c r="A56" s="68"/>
      <c r="B56" s="160" t="str">
        <f>traduzioni!A213</f>
        <v>12. PRIVACY</v>
      </c>
      <c r="C56" s="161"/>
      <c r="D56" s="161"/>
      <c r="E56" s="161"/>
      <c r="F56" s="68"/>
    </row>
    <row r="57" spans="1:10" ht="12.75" customHeight="1">
      <c r="A57" s="68"/>
      <c r="B57" s="68"/>
      <c r="C57" s="162"/>
      <c r="D57" s="161"/>
      <c r="E57" s="161"/>
      <c r="F57" s="68"/>
    </row>
    <row r="58" spans="1:10" ht="12.75" customHeight="1">
      <c r="A58" s="68"/>
      <c r="B58" s="68"/>
      <c r="C58" s="212" t="str">
        <f>traduzioni!A214</f>
        <v>Refer to the privacy policy available at the link:</v>
      </c>
      <c r="D58" s="212"/>
      <c r="E58" s="212"/>
      <c r="F58" s="68"/>
    </row>
    <row r="59" spans="1:10" ht="12.75" customHeight="1">
      <c r="A59" s="68"/>
      <c r="B59" s="68"/>
      <c r="C59" s="217" t="s">
        <v>483</v>
      </c>
      <c r="D59" s="212"/>
      <c r="E59" s="212"/>
      <c r="F59" s="68"/>
    </row>
    <row r="60" spans="1:10" ht="12.75" customHeight="1">
      <c r="A60" s="68"/>
      <c r="B60" s="68"/>
      <c r="C60" s="68"/>
      <c r="D60" s="68"/>
      <c r="E60" s="68"/>
      <c r="F60" s="68"/>
    </row>
    <row r="61" spans="1:10">
      <c r="A61" s="216" t="str">
        <f>traduzioni!A215</f>
        <v>ACCEPT</v>
      </c>
      <c r="B61" s="216"/>
      <c r="C61" s="216"/>
      <c r="D61" s="216"/>
      <c r="E61" s="216"/>
      <c r="F61" s="216"/>
    </row>
    <row r="62" spans="1:10">
      <c r="A62" s="216"/>
      <c r="B62" s="216"/>
      <c r="C62" s="216"/>
      <c r="D62" s="216"/>
      <c r="E62" s="216"/>
      <c r="F62" s="216"/>
    </row>
    <row r="63" spans="1:10">
      <c r="A63" s="216"/>
      <c r="B63" s="216"/>
      <c r="C63" s="216"/>
      <c r="D63" s="216"/>
      <c r="E63" s="216"/>
      <c r="F63" s="216"/>
    </row>
  </sheetData>
  <sheetProtection algorithmName="SHA-512" hashValue="vYO6GMqTHjCiPq6gVx3Ax0gO/qcd2K89ssP5Q1GfLbtFfDqGHJilliwlP1RFvxHJS96WJE6bqguXabq+JuD+uA==" saltValue="F/fWZvI+AJErCUlIEZlTiw==" spinCount="100000" sheet="1" objects="1" scenarios="1" selectLockedCells="1"/>
  <mergeCells count="17">
    <mergeCell ref="A61:F63"/>
    <mergeCell ref="C59:E59"/>
    <mergeCell ref="C18:E18"/>
    <mergeCell ref="C22:E22"/>
    <mergeCell ref="C26:E26"/>
    <mergeCell ref="C30:E30"/>
    <mergeCell ref="C34:E34"/>
    <mergeCell ref="C38:E38"/>
    <mergeCell ref="C42:E42"/>
    <mergeCell ref="C46:E46"/>
    <mergeCell ref="C50:E50"/>
    <mergeCell ref="C54:E54"/>
    <mergeCell ref="C58:E58"/>
    <mergeCell ref="C14:E14"/>
    <mergeCell ref="C7:E9"/>
    <mergeCell ref="D2:D4"/>
    <mergeCell ref="E3:E4"/>
  </mergeCells>
  <dataValidations count="1">
    <dataValidation type="list" allowBlank="1" showInputMessage="1" showErrorMessage="1" sqref="E3:E4" xr:uid="{65199FEF-C025-44B5-9EE2-1CB7A841D101}">
      <formula1>"IT,EN,DE,ES,FR,PT"</formula1>
    </dataValidation>
  </dataValidations>
  <hyperlinks>
    <hyperlink ref="C59" r:id="rId1" xr:uid="{51BF33AA-EE91-4FD2-9BD8-F2C6200438C8}"/>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5A0E8-3366-4D2D-BFBD-0064324686E3}">
  <sheetPr codeName="Foglio1">
    <tabColor rgb="FFFFC000"/>
    <pageSetUpPr fitToPage="1"/>
  </sheetPr>
  <dimension ref="A1:AT141"/>
  <sheetViews>
    <sheetView showGridLines="0" showRowColHeaders="0" topLeftCell="C1" zoomScaleNormal="100" workbookViewId="0">
      <selection activeCell="H9" sqref="H9:K9"/>
    </sheetView>
  </sheetViews>
  <sheetFormatPr defaultColWidth="0" defaultRowHeight="12.75" zeroHeight="1"/>
  <cols>
    <col min="1" max="2" width="9" hidden="1" customWidth="1"/>
    <col min="3" max="3" width="9" customWidth="1"/>
    <col min="4" max="4" width="32.5" bestFit="1" customWidth="1"/>
    <col min="5" max="5" width="10.625" style="2" customWidth="1"/>
    <col min="6" max="6" width="3.5" customWidth="1"/>
    <col min="7" max="7" width="48.625" customWidth="1"/>
    <col min="8" max="8" width="20.625" style="2" customWidth="1"/>
    <col min="9" max="9" width="10.625" style="2" customWidth="1"/>
    <col min="10" max="10" width="16.75" style="2" customWidth="1"/>
    <col min="11" max="11" width="29.875" customWidth="1"/>
    <col min="12" max="12" width="15.625" customWidth="1"/>
    <col min="13" max="14" width="9" customWidth="1"/>
    <col min="15" max="15" width="26.5" bestFit="1" customWidth="1"/>
    <col min="16" max="18" width="9" customWidth="1"/>
    <col min="19" max="46" width="0" hidden="1" customWidth="1"/>
    <col min="47" max="16384" width="9" hidden="1"/>
  </cols>
  <sheetData>
    <row r="1" spans="4:11"/>
    <row r="2" spans="4:11">
      <c r="D2" s="68"/>
      <c r="E2" s="228" t="str">
        <f>traduzioni!A4</f>
        <v>TC-FUSION CALCULATION</v>
      </c>
      <c r="F2" s="228"/>
      <c r="G2" s="228"/>
      <c r="H2" s="228"/>
      <c r="I2" s="228"/>
      <c r="J2" s="228"/>
      <c r="K2" s="68"/>
    </row>
    <row r="3" spans="4:11">
      <c r="D3" s="68"/>
      <c r="E3" s="228"/>
      <c r="F3" s="228"/>
      <c r="G3" s="228"/>
      <c r="H3" s="228"/>
      <c r="I3" s="228"/>
      <c r="J3" s="228"/>
      <c r="K3" s="68"/>
    </row>
    <row r="4" spans="4:11">
      <c r="D4" s="68"/>
      <c r="E4" s="228"/>
      <c r="F4" s="228"/>
      <c r="G4" s="228"/>
      <c r="H4" s="228"/>
      <c r="I4" s="228"/>
      <c r="J4" s="228"/>
      <c r="K4" s="68"/>
    </row>
    <row r="5" spans="4:11">
      <c r="D5" s="68"/>
      <c r="E5" s="228"/>
      <c r="F5" s="228"/>
      <c r="G5" s="228"/>
      <c r="H5" s="228"/>
      <c r="I5" s="228"/>
      <c r="J5" s="228"/>
      <c r="K5" s="68"/>
    </row>
    <row r="6" spans="4:11">
      <c r="D6" s="68"/>
      <c r="E6" s="228"/>
      <c r="F6" s="228"/>
      <c r="G6" s="228"/>
      <c r="H6" s="228"/>
      <c r="I6" s="228"/>
      <c r="J6" s="228"/>
      <c r="K6" s="69" t="s">
        <v>1392</v>
      </c>
    </row>
    <row r="7" spans="4:11"/>
    <row r="8" spans="4:11" ht="15" customHeight="1">
      <c r="D8" s="219" t="str">
        <f>traduzioni!A5</f>
        <v>General informations</v>
      </c>
      <c r="E8" s="70"/>
      <c r="F8" s="71"/>
      <c r="G8" s="71" t="str">
        <f>traduzioni!A6</f>
        <v>Date</v>
      </c>
      <c r="H8" s="72">
        <f ca="1">TODAY()</f>
        <v>45547</v>
      </c>
      <c r="I8" s="70"/>
      <c r="J8" s="70" t="str">
        <f>traduzioni!A216</f>
        <v>Language</v>
      </c>
      <c r="K8" s="176" t="s">
        <v>388</v>
      </c>
    </row>
    <row r="9" spans="4:11" ht="15" customHeight="1">
      <c r="D9" s="220"/>
      <c r="E9" s="35"/>
      <c r="F9" s="38"/>
      <c r="G9" s="38" t="str">
        <f>traduzioni!A7</f>
        <v>Project</v>
      </c>
      <c r="H9" s="225"/>
      <c r="I9" s="226"/>
      <c r="J9" s="226"/>
      <c r="K9" s="227"/>
    </row>
    <row r="10" spans="4:11" ht="15" customHeight="1">
      <c r="D10" s="220"/>
      <c r="E10" s="35"/>
      <c r="F10" s="38"/>
      <c r="G10" s="38" t="str">
        <f>traduzioni!A8</f>
        <v>Designer</v>
      </c>
      <c r="H10" s="225"/>
      <c r="I10" s="226"/>
      <c r="J10" s="226"/>
      <c r="K10" s="227"/>
    </row>
    <row r="11" spans="4:11" ht="15" customHeight="1">
      <c r="D11" s="221"/>
      <c r="E11" s="73"/>
      <c r="F11" s="74"/>
      <c r="G11" s="74" t="str">
        <f>traduzioni!A9</f>
        <v>Connection no.</v>
      </c>
      <c r="H11" s="222"/>
      <c r="I11" s="223"/>
      <c r="J11" s="223"/>
      <c r="K11" s="224"/>
    </row>
    <row r="12" spans="4:11" ht="15" customHeight="1"/>
    <row r="13" spans="4:11" ht="15" customHeight="1">
      <c r="D13" s="219" t="str">
        <f>traduzioni!A10</f>
        <v>Standard</v>
      </c>
      <c r="E13" s="134"/>
      <c r="F13" s="10"/>
      <c r="G13" s="71" t="s">
        <v>650</v>
      </c>
      <c r="H13" s="70" t="s">
        <v>1354</v>
      </c>
      <c r="I13" s="134"/>
      <c r="J13" s="134"/>
      <c r="K13" s="11"/>
    </row>
    <row r="14" spans="4:11" ht="15" customHeight="1">
      <c r="D14" s="220"/>
      <c r="E14" s="35"/>
      <c r="F14" s="38"/>
      <c r="G14" s="38" t="str">
        <f>traduzioni!A224</f>
        <v>Timber</v>
      </c>
      <c r="H14" s="177" t="s">
        <v>1352</v>
      </c>
      <c r="I14" s="38"/>
      <c r="J14" s="35"/>
      <c r="K14" s="79"/>
    </row>
    <row r="15" spans="4:11" ht="15" customHeight="1">
      <c r="D15" s="221"/>
      <c r="E15" s="73"/>
      <c r="F15" s="74"/>
      <c r="G15" s="74" t="str">
        <f>traduzioni!A225</f>
        <v>Concrete</v>
      </c>
      <c r="H15" s="178" t="s">
        <v>1353</v>
      </c>
      <c r="I15" s="74"/>
      <c r="J15" s="73"/>
      <c r="K15" s="80"/>
    </row>
    <row r="16" spans="4:11" ht="15" hidden="1" customHeight="1">
      <c r="D16" s="171"/>
      <c r="E16" s="35"/>
      <c r="F16" s="38"/>
      <c r="G16" s="173" t="s">
        <v>315</v>
      </c>
      <c r="H16" s="175" t="s">
        <v>307</v>
      </c>
      <c r="I16" s="173" t="s">
        <v>311</v>
      </c>
      <c r="J16" s="174"/>
      <c r="K16" s="76"/>
    </row>
    <row r="17" spans="1:11" ht="15" hidden="1" customHeight="1">
      <c r="D17" s="172"/>
      <c r="E17" s="73"/>
      <c r="F17" s="74"/>
      <c r="G17" s="77" t="s">
        <v>316</v>
      </c>
      <c r="H17" s="148" t="s">
        <v>307</v>
      </c>
      <c r="I17" s="77" t="s">
        <v>312</v>
      </c>
      <c r="J17" s="170"/>
      <c r="K17" s="78"/>
    </row>
    <row r="18" spans="1:11" ht="15" customHeight="1"/>
    <row r="19" spans="1:11" ht="15" customHeight="1">
      <c r="A19" t="str">
        <f>IF(K8="IT","IT",IF(K8="EN","EN"))</f>
        <v>EN</v>
      </c>
      <c r="D19" s="219" t="str">
        <f>traduzioni!A13</f>
        <v>Loads</v>
      </c>
      <c r="E19" s="70"/>
      <c r="F19" s="71"/>
      <c r="G19" s="71" t="str">
        <f>traduzioni!A14</f>
        <v>Load duration</v>
      </c>
      <c r="H19" s="179" t="s">
        <v>684</v>
      </c>
      <c r="I19" s="70"/>
      <c r="J19" s="70"/>
      <c r="K19" s="75"/>
    </row>
    <row r="20" spans="1:11" ht="15" customHeight="1">
      <c r="D20" s="220"/>
      <c r="E20" s="35" t="s">
        <v>78</v>
      </c>
      <c r="F20" s="38"/>
      <c r="G20" s="38" t="str">
        <f>traduzioni!A226</f>
        <v>Coefficient</v>
      </c>
      <c r="H20" s="81">
        <f>CLT!N12</f>
        <v>1</v>
      </c>
      <c r="I20" s="35"/>
      <c r="J20" s="35" t="s">
        <v>376</v>
      </c>
      <c r="K20" s="79"/>
    </row>
    <row r="21" spans="1:11" ht="15" customHeight="1">
      <c r="D21" s="220"/>
      <c r="E21" s="35" t="s">
        <v>149</v>
      </c>
      <c r="F21" s="38"/>
      <c r="G21" s="38" t="str">
        <f>traduzioni!A15</f>
        <v>Joint length</v>
      </c>
      <c r="H21" s="35">
        <v>1000</v>
      </c>
      <c r="I21" s="35"/>
      <c r="J21" s="35" t="s">
        <v>35</v>
      </c>
      <c r="K21" s="79"/>
    </row>
    <row r="22" spans="1:11" ht="15" customHeight="1">
      <c r="D22" s="220"/>
      <c r="E22" s="35"/>
      <c r="F22" s="38"/>
      <c r="G22" s="38"/>
      <c r="H22" s="35"/>
      <c r="I22" s="35"/>
      <c r="J22" s="35"/>
      <c r="K22" s="79"/>
    </row>
    <row r="23" spans="1:11" ht="15" customHeight="1">
      <c r="D23" s="220"/>
      <c r="E23" s="35" t="s">
        <v>1393</v>
      </c>
      <c r="F23" s="38"/>
      <c r="G23" s="38" t="str">
        <f>traduzioni!A16</f>
        <v>Axial force parallel to the connection</v>
      </c>
      <c r="H23" s="177">
        <v>0</v>
      </c>
      <c r="I23" s="35"/>
      <c r="J23" s="35" t="s">
        <v>250</v>
      </c>
      <c r="K23" s="79" t="str">
        <f>IF(H23&gt;0,traduzioni!A22,traduzioni!A23)</f>
        <v>- compression</v>
      </c>
    </row>
    <row r="24" spans="1:11" ht="15" customHeight="1">
      <c r="D24" s="220"/>
      <c r="E24" s="35" t="s">
        <v>1394</v>
      </c>
      <c r="F24" s="38"/>
      <c r="G24" s="38" t="str">
        <f>traduzioni!A17</f>
        <v>Shear perpendicular to the connection, x-direction</v>
      </c>
      <c r="H24" s="177">
        <v>0</v>
      </c>
      <c r="I24" s="35"/>
      <c r="J24" s="35" t="s">
        <v>250</v>
      </c>
      <c r="K24" s="79"/>
    </row>
    <row r="25" spans="1:11" ht="15" customHeight="1">
      <c r="D25" s="220"/>
      <c r="E25" s="35" t="s">
        <v>1395</v>
      </c>
      <c r="F25" s="38"/>
      <c r="G25" s="38" t="str">
        <f>traduzioni!A18</f>
        <v>Shear perpendicular to the connection, z-direction</v>
      </c>
      <c r="H25" s="177">
        <v>0</v>
      </c>
      <c r="I25" s="35"/>
      <c r="J25" s="35" t="s">
        <v>250</v>
      </c>
      <c r="K25" s="79"/>
    </row>
    <row r="26" spans="1:11" ht="15" customHeight="1">
      <c r="D26" s="220"/>
      <c r="E26" s="35" t="s">
        <v>1396</v>
      </c>
      <c r="F26" s="38"/>
      <c r="G26" s="38" t="str">
        <f>traduzioni!A19</f>
        <v>Bending moment parallel to the connection</v>
      </c>
      <c r="H26" s="177">
        <v>11.9</v>
      </c>
      <c r="I26" s="35"/>
      <c r="J26" s="35" t="s">
        <v>251</v>
      </c>
      <c r="K26" s="79" t="str">
        <f>IF(H26&gt;0,traduzioni!A24,traduzioni!A25)</f>
        <v>+ lower tense fibers</v>
      </c>
    </row>
    <row r="27" spans="1:11" ht="15" customHeight="1">
      <c r="D27" s="220"/>
      <c r="E27" s="35"/>
      <c r="F27" s="38"/>
      <c r="G27" s="38" t="str">
        <f>traduzioni!A20</f>
        <v>Lower tense fibers</v>
      </c>
      <c r="H27" s="35" t="str">
        <f>IF(H26&gt;0,"POS","NEG")</f>
        <v>POS</v>
      </c>
      <c r="I27" s="35"/>
      <c r="J27" s="35"/>
      <c r="K27" s="79"/>
    </row>
    <row r="28" spans="1:11" ht="15" customHeight="1">
      <c r="D28" s="221"/>
      <c r="E28" s="73" t="s">
        <v>1397</v>
      </c>
      <c r="F28" s="74"/>
      <c r="G28" s="74" t="str">
        <f>traduzioni!A21</f>
        <v>Moment perpendicular to the connection, plane-xz</v>
      </c>
      <c r="H28" s="180">
        <v>0</v>
      </c>
      <c r="I28" s="73"/>
      <c r="J28" s="73" t="s">
        <v>251</v>
      </c>
      <c r="K28" s="80" t="str">
        <f>traduzioni!A186</f>
        <v>(concrete beam bending)</v>
      </c>
    </row>
    <row r="29" spans="1:11" ht="15" customHeight="1"/>
    <row r="30" spans="1:11" ht="15" customHeight="1">
      <c r="D30" s="230" t="str">
        <f>traduzioni!A32</f>
        <v>Panel composition</v>
      </c>
      <c r="E30" s="70"/>
      <c r="F30" s="71"/>
      <c r="G30" s="71" t="str">
        <f>traduzioni!A33</f>
        <v>Class</v>
      </c>
      <c r="H30" s="179" t="s">
        <v>71</v>
      </c>
      <c r="I30" s="70"/>
      <c r="J30" s="70"/>
      <c r="K30" s="75"/>
    </row>
    <row r="31" spans="1:11" ht="15" customHeight="1">
      <c r="D31" s="231"/>
      <c r="E31" s="35"/>
      <c r="F31" s="38"/>
      <c r="G31" s="38" t="str">
        <f>traduzioni!A34</f>
        <v>No. Layers</v>
      </c>
      <c r="H31" s="177" t="s">
        <v>662</v>
      </c>
      <c r="I31" s="35"/>
      <c r="J31" s="35"/>
      <c r="K31" s="79"/>
    </row>
    <row r="32" spans="1:11" ht="15" customHeight="1">
      <c r="D32" s="231"/>
      <c r="E32" s="35"/>
      <c r="F32" s="38"/>
      <c r="G32" s="38" t="str">
        <f>traduzioni!A35</f>
        <v>Type</v>
      </c>
      <c r="H32" s="235" t="s">
        <v>663</v>
      </c>
      <c r="I32" s="236"/>
      <c r="J32" s="237"/>
      <c r="K32" s="79"/>
    </row>
    <row r="33" spans="4:14" ht="15" customHeight="1">
      <c r="D33" s="231"/>
      <c r="E33" s="35"/>
      <c r="F33" s="38"/>
      <c r="G33" s="38" t="str">
        <f>traduzioni!A36</f>
        <v>Thickness</v>
      </c>
      <c r="H33" s="35">
        <f>VLOOKUP(H32,CLT!F24:H76,3,FALSE)</f>
        <v>260</v>
      </c>
      <c r="I33" s="35"/>
      <c r="J33" s="35" t="s">
        <v>35</v>
      </c>
      <c r="K33" s="79"/>
    </row>
    <row r="34" spans="4:14" ht="15" customHeight="1">
      <c r="D34" s="232"/>
      <c r="E34" s="73"/>
      <c r="F34" s="74"/>
      <c r="G34" s="74" t="str">
        <f>traduzioni!A37</f>
        <v>Orientation</v>
      </c>
      <c r="H34" s="180" t="s">
        <v>97</v>
      </c>
      <c r="I34" s="233" t="str">
        <f>IF($H$34="L",traduzioni!A38,IF(H34="T",traduzioni!A39))</f>
        <v>L-Outer layers fibers perpendicular to the joint line</v>
      </c>
      <c r="J34" s="233"/>
      <c r="K34" s="234"/>
    </row>
    <row r="35" spans="4:14" ht="15" customHeight="1"/>
    <row r="36" spans="4:14" ht="15" customHeight="1">
      <c r="D36" s="219" t="str">
        <f>traduzioni!A40</f>
        <v>Screws</v>
      </c>
      <c r="E36" s="70"/>
      <c r="F36" s="71"/>
      <c r="G36" s="71" t="str">
        <f>traduzioni!A41</f>
        <v>Screw type</v>
      </c>
      <c r="H36" s="179" t="s">
        <v>660</v>
      </c>
      <c r="I36" s="70"/>
      <c r="J36" s="70"/>
      <c r="K36" s="75"/>
    </row>
    <row r="37" spans="4:14" ht="15" customHeight="1">
      <c r="D37" s="220"/>
      <c r="E37" s="35"/>
      <c r="F37" s="38"/>
      <c r="G37" s="38"/>
      <c r="H37" s="177" t="s">
        <v>661</v>
      </c>
      <c r="I37" s="35"/>
      <c r="J37" s="35"/>
      <c r="K37" s="79"/>
    </row>
    <row r="38" spans="4:14" ht="15" customHeight="1">
      <c r="D38" s="220"/>
      <c r="E38" s="35" t="s">
        <v>21</v>
      </c>
      <c r="F38" s="38"/>
      <c r="G38" s="38" t="str">
        <f>traduzioni!A42</f>
        <v>Diameter</v>
      </c>
      <c r="H38" s="35">
        <f>VLOOKUP(H36,SCREWS!E11:F14,2,FALSE)</f>
        <v>11</v>
      </c>
      <c r="I38" s="35"/>
      <c r="J38" s="35" t="s">
        <v>35</v>
      </c>
      <c r="K38" s="79"/>
    </row>
    <row r="39" spans="4:14" ht="15" customHeight="1">
      <c r="D39" s="220"/>
      <c r="E39" s="35" t="s">
        <v>22</v>
      </c>
      <c r="F39" s="38"/>
      <c r="G39" s="38" t="str">
        <f>traduzioni!A43</f>
        <v>Length</v>
      </c>
      <c r="H39" s="35">
        <f>VLOOKUP(H37,SCREWS!X28:AJ98,3,FALSE)</f>
        <v>450</v>
      </c>
      <c r="I39" s="35"/>
      <c r="J39" s="35" t="s">
        <v>35</v>
      </c>
      <c r="K39" s="79"/>
    </row>
    <row r="40" spans="4:14" ht="15" customHeight="1">
      <c r="D40" s="220"/>
      <c r="E40" s="35" t="s">
        <v>157</v>
      </c>
      <c r="F40" s="38"/>
      <c r="G40" s="38" t="str">
        <f>traduzioni!A44</f>
        <v>Upper spacing</v>
      </c>
      <c r="H40" s="177">
        <v>200</v>
      </c>
      <c r="I40" s="35"/>
      <c r="J40" s="35" t="s">
        <v>35</v>
      </c>
      <c r="K40" s="79" t="str">
        <f>IF(H40&lt;=300,IF(H40&gt;10*H38,"emin&lt;esup&lt;emax","out of min/max spacing!"))</f>
        <v>emin&lt;esup&lt;emax</v>
      </c>
    </row>
    <row r="41" spans="4:14" ht="15" customHeight="1">
      <c r="D41" s="220"/>
      <c r="E41" s="35" t="s">
        <v>158</v>
      </c>
      <c r="F41" s="38"/>
      <c r="G41" s="38" t="str">
        <f>traduzioni!A45</f>
        <v>Bottom spacing</v>
      </c>
      <c r="H41" s="177">
        <v>200</v>
      </c>
      <c r="I41" s="35"/>
      <c r="J41" s="35" t="s">
        <v>35</v>
      </c>
      <c r="K41" s="79" t="str">
        <f>IF(H41&lt;=300,IF(H41&gt;10*H38,"emin&lt;einf&lt;emax","out of min/max spacing!"))</f>
        <v>emin&lt;einf&lt;emax</v>
      </c>
    </row>
    <row r="42" spans="4:14" ht="15" customHeight="1">
      <c r="D42" s="220"/>
      <c r="E42" s="35"/>
      <c r="F42" s="38"/>
      <c r="G42" s="38" t="str">
        <f>traduzioni!A46</f>
        <v>Board (Y/N)</v>
      </c>
      <c r="H42" s="177" t="s">
        <v>307</v>
      </c>
      <c r="I42" s="149">
        <v>20</v>
      </c>
      <c r="J42" s="35" t="s">
        <v>35</v>
      </c>
      <c r="K42" s="79"/>
    </row>
    <row r="43" spans="4:14" ht="15" customHeight="1">
      <c r="D43" s="220"/>
      <c r="E43" s="35" t="s">
        <v>234</v>
      </c>
      <c r="F43" s="38"/>
      <c r="G43" s="38" t="str">
        <f>traduzioni!A47</f>
        <v>Number of upper screws/meter</v>
      </c>
      <c r="H43" s="81">
        <f>H21/H40</f>
        <v>5</v>
      </c>
      <c r="I43" s="35"/>
      <c r="J43" s="35" t="s">
        <v>275</v>
      </c>
      <c r="K43" s="79"/>
    </row>
    <row r="44" spans="4:14" ht="15" customHeight="1">
      <c r="D44" s="220"/>
      <c r="E44" s="35" t="s">
        <v>235</v>
      </c>
      <c r="F44" s="38"/>
      <c r="G44" s="38" t="str">
        <f>traduzioni!A48</f>
        <v>Number of lower screws/meter</v>
      </c>
      <c r="H44" s="81">
        <f>H21/H41</f>
        <v>5</v>
      </c>
      <c r="I44" s="35"/>
      <c r="J44" s="35" t="s">
        <v>275</v>
      </c>
      <c r="K44" s="79"/>
    </row>
    <row r="45" spans="4:14" ht="15" customHeight="1">
      <c r="D45" s="220"/>
      <c r="E45" s="35" t="s">
        <v>154</v>
      </c>
      <c r="F45" s="38"/>
      <c r="G45" s="38" t="str">
        <f>traduzioni!A49</f>
        <v>Minimum anchorage length (Concrete)</v>
      </c>
      <c r="H45" s="35">
        <f>MAX(9*H38,100)</f>
        <v>100</v>
      </c>
      <c r="I45" s="35"/>
      <c r="J45" s="35" t="s">
        <v>35</v>
      </c>
      <c r="K45" s="79"/>
    </row>
    <row r="46" spans="4:14" ht="15" customHeight="1">
      <c r="D46" s="220"/>
      <c r="E46" s="35" t="s">
        <v>155</v>
      </c>
      <c r="F46" s="38"/>
      <c r="G46" s="38" t="str">
        <f>traduzioni!A50</f>
        <v>Minimum overlap length (Concrete)</v>
      </c>
      <c r="H46" s="35">
        <f>MAX(14*H38,150)</f>
        <v>154</v>
      </c>
      <c r="J46" s="35" t="s">
        <v>35</v>
      </c>
      <c r="K46" s="79"/>
    </row>
    <row r="47" spans="4:14" ht="15" customHeight="1">
      <c r="D47" s="220"/>
      <c r="E47" s="35" t="s">
        <v>344</v>
      </c>
      <c r="F47" s="38"/>
      <c r="G47" s="38" t="str">
        <f>traduzioni!A51</f>
        <v>Minimum penetration length (Timber)</v>
      </c>
      <c r="H47" s="82">
        <f>2.3*(SCREWS!D40*1000/(SCREWS!D41*SCREWS!E23))^0.5</f>
        <v>60.502178096441845</v>
      </c>
      <c r="I47" s="35"/>
      <c r="J47" s="35" t="s">
        <v>35</v>
      </c>
      <c r="K47" s="79" t="str">
        <f>IF(H74&gt;(H47),"leff&gt;leff,min","leff&lt;leff,min")</f>
        <v>leff&gt;leff,min</v>
      </c>
      <c r="L47" t="s">
        <v>345</v>
      </c>
    </row>
    <row r="48" spans="4:14" ht="15" customHeight="1">
      <c r="D48" s="220"/>
      <c r="E48" s="35" t="s">
        <v>221</v>
      </c>
      <c r="F48" s="38"/>
      <c r="G48" s="38" t="str">
        <f>traduzioni!A52</f>
        <v>Edge distance a4t</v>
      </c>
      <c r="H48" s="177">
        <v>45</v>
      </c>
      <c r="I48" s="35"/>
      <c r="J48" s="35" t="s">
        <v>35</v>
      </c>
      <c r="K48" s="79"/>
      <c r="N48" s="29"/>
    </row>
    <row r="49" spans="4:19" ht="15" customHeight="1">
      <c r="D49" s="221"/>
      <c r="E49" s="73" t="s">
        <v>156</v>
      </c>
      <c r="F49" s="74"/>
      <c r="G49" s="74" t="str">
        <f>traduzioni!A53</f>
        <v>Minimum edge distance a4t</v>
      </c>
      <c r="H49" s="73">
        <f>6*H38</f>
        <v>66</v>
      </c>
      <c r="I49" s="73"/>
      <c r="J49" s="73" t="s">
        <v>35</v>
      </c>
      <c r="K49" s="80" t="str">
        <f>IF(H48&lt;H49,"a4&lt;a4min","a4&gt;a4min")</f>
        <v>a4&lt;a4min</v>
      </c>
      <c r="L49" t="s">
        <v>343</v>
      </c>
      <c r="N49" s="29"/>
    </row>
    <row r="50" spans="4:19" ht="15" customHeight="1"/>
    <row r="51" spans="4:19" ht="15" customHeight="1">
      <c r="D51" s="219" t="str">
        <f>traduzioni!A54</f>
        <v>Concrete</v>
      </c>
      <c r="E51" s="70"/>
      <c r="F51" s="71"/>
      <c r="G51" s="71" t="str">
        <f>traduzioni!A55</f>
        <v>Concrete class</v>
      </c>
      <c r="H51" s="179" t="s">
        <v>64</v>
      </c>
      <c r="I51" s="70"/>
      <c r="J51" s="70"/>
      <c r="K51" s="83" t="str">
        <f>IF(H51="C20/25","NOT COVERED BY ETA","OK")</f>
        <v>OK</v>
      </c>
      <c r="P51" s="9"/>
      <c r="Q51" s="9"/>
      <c r="R51" s="9"/>
    </row>
    <row r="52" spans="4:19" ht="15" customHeight="1">
      <c r="D52" s="220"/>
      <c r="E52" s="35" t="s">
        <v>159</v>
      </c>
      <c r="F52" s="38"/>
      <c r="G52" s="38" t="str">
        <f>traduzioni!A56</f>
        <v>Stirrups diameter</v>
      </c>
      <c r="H52" s="177">
        <v>6</v>
      </c>
      <c r="I52" s="35"/>
      <c r="J52" s="35" t="s">
        <v>35</v>
      </c>
      <c r="K52" s="79"/>
      <c r="P52" s="9"/>
      <c r="Q52" s="9"/>
      <c r="R52" s="9"/>
    </row>
    <row r="53" spans="4:19" ht="15" customHeight="1">
      <c r="D53" s="220"/>
      <c r="E53" s="35" t="s">
        <v>160</v>
      </c>
      <c r="F53" s="38"/>
      <c r="G53" s="38" t="str">
        <f>traduzioni!A57</f>
        <v>Longitudinal bars diameter</v>
      </c>
      <c r="H53" s="177">
        <v>8</v>
      </c>
      <c r="I53" s="35"/>
      <c r="J53" s="35" t="s">
        <v>35</v>
      </c>
      <c r="K53" s="79"/>
    </row>
    <row r="54" spans="4:19" ht="15" customHeight="1">
      <c r="D54" s="220"/>
      <c r="E54" s="35" t="s">
        <v>161</v>
      </c>
      <c r="F54" s="38"/>
      <c r="G54" s="38" t="str">
        <f>traduzioni!A58</f>
        <v>Aggregate diameter (*)</v>
      </c>
      <c r="H54" s="177">
        <v>10</v>
      </c>
      <c r="I54" s="35"/>
      <c r="J54" s="35" t="s">
        <v>35</v>
      </c>
      <c r="K54" s="239" t="str">
        <f>traduzioni!A221</f>
        <v>(*) for aggregate size larger than 15 mm, evaluate the concrete pouring conditions</v>
      </c>
      <c r="P54" s="9"/>
      <c r="Q54" s="9"/>
      <c r="R54" s="9"/>
    </row>
    <row r="55" spans="4:19" ht="15" customHeight="1">
      <c r="D55" s="220"/>
      <c r="E55" s="35"/>
      <c r="F55" s="38"/>
      <c r="G55" s="38" t="str">
        <f>traduzioni!A59</f>
        <v>Environmental exposure class</v>
      </c>
      <c r="H55" s="35" t="str">
        <f>CONCRETE!G9</f>
        <v>XC1</v>
      </c>
      <c r="I55" s="35"/>
      <c r="J55" s="35"/>
      <c r="K55" s="239"/>
      <c r="P55" s="9"/>
      <c r="Q55" s="4"/>
      <c r="R55" s="9"/>
    </row>
    <row r="56" spans="4:19" ht="15" customHeight="1">
      <c r="D56" s="220"/>
      <c r="E56" s="35" t="s">
        <v>162</v>
      </c>
      <c r="F56" s="38"/>
      <c r="G56" s="38" t="str">
        <f>traduzioni!A60</f>
        <v>Minimum stirrups cover</v>
      </c>
      <c r="H56" s="35">
        <f>CONCRETE!H17</f>
        <v>20</v>
      </c>
      <c r="I56" s="35"/>
      <c r="J56" s="35" t="s">
        <v>35</v>
      </c>
      <c r="K56" s="239"/>
      <c r="Q56" s="2"/>
    </row>
    <row r="57" spans="4:19" ht="15" customHeight="1">
      <c r="D57" s="220"/>
      <c r="E57" s="35" t="s">
        <v>163</v>
      </c>
      <c r="F57" s="38"/>
      <c r="G57" s="38" t="str">
        <f>traduzioni!A61</f>
        <v>Minimum longitudinal bars cover</v>
      </c>
      <c r="H57" s="35">
        <f>CONCRETE!H18</f>
        <v>20</v>
      </c>
      <c r="I57" s="35"/>
      <c r="J57" s="35" t="s">
        <v>35</v>
      </c>
      <c r="K57" s="79"/>
      <c r="Q57" s="3"/>
      <c r="R57" s="2"/>
      <c r="S57" s="2"/>
    </row>
    <row r="58" spans="4:19" ht="15" customHeight="1">
      <c r="D58" s="220"/>
      <c r="E58" s="35" t="s">
        <v>128</v>
      </c>
      <c r="F58" s="38"/>
      <c r="G58" s="38" t="str">
        <f>traduzioni!A62</f>
        <v>Longitudinal iron axis distance</v>
      </c>
      <c r="H58" s="35">
        <f>CONCRETE!H20</f>
        <v>24</v>
      </c>
      <c r="I58" s="35"/>
      <c r="J58" s="35" t="s">
        <v>35</v>
      </c>
      <c r="K58" s="79"/>
    </row>
    <row r="59" spans="4:19" ht="15" customHeight="1">
      <c r="D59" s="221"/>
      <c r="E59" s="73" t="s">
        <v>405</v>
      </c>
      <c r="F59" s="74"/>
      <c r="G59" s="74" t="str">
        <f>traduzioni!A63</f>
        <v>Minimum curb width</v>
      </c>
      <c r="H59" s="73">
        <f>H58+H58+H46</f>
        <v>202</v>
      </c>
      <c r="I59" s="73"/>
      <c r="J59" s="73" t="s">
        <v>35</v>
      </c>
      <c r="K59" s="80"/>
    </row>
    <row r="60" spans="4:19" ht="15" customHeight="1"/>
    <row r="61" spans="4:19" ht="15" customHeight="1">
      <c r="D61" s="219" t="str">
        <f>traduzioni!A64</f>
        <v>Resistances</v>
      </c>
      <c r="E61" s="70" t="s">
        <v>165</v>
      </c>
      <c r="F61" s="71"/>
      <c r="G61" s="71" t="str">
        <f>traduzioni!A65</f>
        <v>Wood compression strength (design)</v>
      </c>
      <c r="H61" s="84">
        <f>CLT!N18</f>
        <v>19.200000000000003</v>
      </c>
      <c r="I61" s="70"/>
      <c r="J61" s="70" t="s">
        <v>100</v>
      </c>
      <c r="K61" s="75"/>
    </row>
    <row r="62" spans="4:19" ht="15" customHeight="1">
      <c r="D62" s="220"/>
      <c r="E62" s="35" t="s">
        <v>167</v>
      </c>
      <c r="F62" s="38"/>
      <c r="G62" s="38" t="str">
        <f>traduzioni!A66</f>
        <v>Concrete compressive strength (design)</v>
      </c>
      <c r="H62" s="81">
        <f>CONCRETE!H30</f>
        <v>14.166666666666666</v>
      </c>
      <c r="I62" s="35"/>
      <c r="J62" s="35" t="s">
        <v>100</v>
      </c>
      <c r="K62" s="79"/>
    </row>
    <row r="63" spans="4:19" ht="15" customHeight="1">
      <c r="D63" s="220"/>
      <c r="E63" s="35" t="s">
        <v>166</v>
      </c>
      <c r="F63" s="38"/>
      <c r="G63" s="38" t="str">
        <f>traduzioni!A67</f>
        <v>min(T,CLS)</v>
      </c>
      <c r="H63" s="81">
        <f>MIN(H61,H62)</f>
        <v>14.166666666666666</v>
      </c>
      <c r="I63" s="35"/>
      <c r="J63" s="35" t="s">
        <v>100</v>
      </c>
      <c r="K63" s="79"/>
    </row>
    <row r="64" spans="4:19" ht="15" customHeight="1">
      <c r="D64" s="221"/>
      <c r="E64" s="73" t="s">
        <v>168</v>
      </c>
      <c r="F64" s="74"/>
      <c r="G64" s="74" t="str">
        <f>traduzioni!A68</f>
        <v>Tension of adhesion</v>
      </c>
      <c r="H64" s="73">
        <f>VLOOKUP(H36,SCREWS!E11:H14,4,FALSE)</f>
        <v>12.5</v>
      </c>
      <c r="I64" s="73"/>
      <c r="J64" s="73" t="s">
        <v>100</v>
      </c>
      <c r="K64" s="80"/>
    </row>
    <row r="65" spans="4:46" ht="15" customHeight="1">
      <c r="E65" s="35"/>
      <c r="F65" s="38"/>
      <c r="G65" s="38"/>
      <c r="H65" s="35"/>
      <c r="I65" s="35"/>
      <c r="J65" s="35"/>
      <c r="K65" s="38"/>
    </row>
    <row r="66" spans="4:46" ht="15" customHeight="1">
      <c r="D66" s="219" t="str">
        <f>traduzioni!A69</f>
        <v>Effective geometry</v>
      </c>
      <c r="E66" s="70"/>
      <c r="F66" s="71"/>
      <c r="G66" s="71" t="str">
        <f>traduzioni!A70</f>
        <v>Longitudinal bars axis distance</v>
      </c>
      <c r="H66" s="70">
        <f>H58+IF(H42="N",(0),IF(H42="Y",(I42)))</f>
        <v>24</v>
      </c>
      <c r="I66" s="70"/>
      <c r="J66" s="70" t="s">
        <v>35</v>
      </c>
      <c r="K66" s="75"/>
    </row>
    <row r="67" spans="4:46" ht="15" customHeight="1">
      <c r="D67" s="220"/>
      <c r="E67" s="35" t="s">
        <v>164</v>
      </c>
      <c r="F67" s="38"/>
      <c r="G67" s="38" t="str">
        <f>traduzioni!A71</f>
        <v>Effective curb width</v>
      </c>
      <c r="H67" s="177">
        <v>200</v>
      </c>
      <c r="I67" s="35"/>
      <c r="J67" s="35" t="s">
        <v>35</v>
      </c>
      <c r="K67" s="79"/>
    </row>
    <row r="68" spans="4:46" ht="15" customHeight="1">
      <c r="D68" s="220"/>
      <c r="E68" s="35"/>
      <c r="F68" s="38"/>
      <c r="G68" s="38" t="str">
        <f>traduzioni!A72</f>
        <v>Length of overlap</v>
      </c>
      <c r="H68" s="35">
        <f>H67-2*CONCRETE!M14</f>
        <v>160</v>
      </c>
      <c r="I68" s="35"/>
      <c r="J68" s="35" t="s">
        <v>35</v>
      </c>
      <c r="K68" s="79"/>
    </row>
    <row r="69" spans="4:46" ht="15" customHeight="1">
      <c r="D69" s="220"/>
      <c r="E69" s="35"/>
      <c r="F69" s="38"/>
      <c r="G69" s="38" t="str">
        <f>traduzioni!A73</f>
        <v>Anchorage length</v>
      </c>
      <c r="H69" s="35">
        <f>H68+CONCRETE!M14</f>
        <v>180</v>
      </c>
      <c r="I69" s="35"/>
      <c r="J69" s="35"/>
      <c r="K69" s="79"/>
    </row>
    <row r="70" spans="4:46" ht="15" customHeight="1">
      <c r="D70" s="220"/>
      <c r="E70" s="35"/>
      <c r="F70" s="38"/>
      <c r="G70" s="38" t="str">
        <f>traduzioni!A74</f>
        <v>Distance from the edge screws</v>
      </c>
      <c r="H70" s="35">
        <f>MAX(H48,(H66+H53/2+H38/2))</f>
        <v>45</v>
      </c>
      <c r="I70" s="35"/>
      <c r="J70" s="35" t="s">
        <v>35</v>
      </c>
      <c r="K70" s="79"/>
    </row>
    <row r="71" spans="4:46" ht="15" customHeight="1">
      <c r="D71" s="220"/>
      <c r="E71" s="35"/>
      <c r="F71" s="38"/>
      <c r="G71" s="38" t="str">
        <f>traduzioni!A75</f>
        <v>Checking consistency of screw/rod position</v>
      </c>
      <c r="H71" s="35" t="str">
        <f>IF(H70&gt;=I71,"YES &gt;","NO, INCREASE a4 to")</f>
        <v>YES &gt;</v>
      </c>
      <c r="I71" s="35">
        <f>IF(H42="N",(H66+H53/2+H38/2+'CLT EDGE DISTANCE'!D15),IF(H42="Y",(H66+H53/2+H38/2+'CLT EDGE DISTANCE'!D15)))</f>
        <v>35.5</v>
      </c>
      <c r="J71" s="35" t="s">
        <v>35</v>
      </c>
      <c r="K71" s="238" t="str">
        <f>traduzioni!A81</f>
        <v>(*) it is assumed that the screw penetrates the curb to the opposite reinforcement bar</v>
      </c>
    </row>
    <row r="72" spans="4:46" ht="15" customHeight="1">
      <c r="D72" s="220"/>
      <c r="E72" s="35" t="s">
        <v>248</v>
      </c>
      <c r="F72" s="38"/>
      <c r="G72" s="85" t="str">
        <f>traduzioni!A76</f>
        <v>Upper edge screw distance</v>
      </c>
      <c r="H72" s="86">
        <f>H33-H70</f>
        <v>215</v>
      </c>
      <c r="I72" s="86"/>
      <c r="J72" s="86" t="s">
        <v>35</v>
      </c>
      <c r="K72" s="238"/>
    </row>
    <row r="73" spans="4:46" ht="15" customHeight="1">
      <c r="D73" s="220"/>
      <c r="E73" s="35" t="s">
        <v>249</v>
      </c>
      <c r="F73" s="38"/>
      <c r="G73" s="38" t="str">
        <f>traduzioni!A77</f>
        <v>Screw thread length in concrete (*)</v>
      </c>
      <c r="H73" s="35">
        <f>H67-CONCRETE!M14</f>
        <v>180</v>
      </c>
      <c r="I73" s="35"/>
      <c r="J73" s="35" t="s">
        <v>35</v>
      </c>
      <c r="K73" s="238"/>
      <c r="X73" s="63"/>
      <c r="Y73" s="63"/>
      <c r="Z73" s="63"/>
      <c r="AA73" s="63"/>
      <c r="AB73" s="63"/>
      <c r="AC73" s="63"/>
      <c r="AD73" s="63"/>
      <c r="AE73" s="63"/>
      <c r="AF73" s="63"/>
      <c r="AG73" s="63"/>
      <c r="AH73" s="63"/>
    </row>
    <row r="74" spans="4:46" ht="15" customHeight="1">
      <c r="D74" s="220"/>
      <c r="E74" s="35" t="s">
        <v>88</v>
      </c>
      <c r="F74" s="38"/>
      <c r="G74" s="38" t="str">
        <f>traduzioni!A78</f>
        <v>Screw thread length in timber</v>
      </c>
      <c r="H74" s="35">
        <f>H39-H73</f>
        <v>270</v>
      </c>
      <c r="I74" s="35"/>
      <c r="J74" s="35" t="s">
        <v>35</v>
      </c>
      <c r="K74" s="79" t="str">
        <f>IF(H74&lt;(20*H38),"l&lt;lmin","l&gt;lmin")</f>
        <v>l&gt;lmin</v>
      </c>
      <c r="AK74" s="64"/>
      <c r="AL74" s="64"/>
      <c r="AM74" s="64" t="s">
        <v>256</v>
      </c>
      <c r="AN74" s="64"/>
      <c r="AO74" s="64">
        <f>0.25*H33</f>
        <v>65</v>
      </c>
      <c r="AP74" s="64" t="s">
        <v>35</v>
      </c>
      <c r="AQ74" s="64"/>
      <c r="AR74" s="64"/>
      <c r="AS74" s="64"/>
      <c r="AT74" s="64"/>
    </row>
    <row r="75" spans="4:46" ht="15" customHeight="1">
      <c r="D75" s="220"/>
      <c r="E75" s="35" t="s">
        <v>237</v>
      </c>
      <c r="F75" s="38"/>
      <c r="G75" s="38" t="str">
        <f>traduzioni!A79</f>
        <v>Effective screw thread length in timber</v>
      </c>
      <c r="H75" s="35">
        <f>H74-10</f>
        <v>260</v>
      </c>
      <c r="I75" s="35"/>
      <c r="J75" s="35" t="s">
        <v>35</v>
      </c>
      <c r="K75" s="79"/>
      <c r="AK75" s="64"/>
      <c r="AL75" s="229" t="s">
        <v>97</v>
      </c>
      <c r="AM75" s="229"/>
      <c r="AN75" s="229"/>
      <c r="AO75" s="229"/>
      <c r="AP75" s="64"/>
      <c r="AQ75" s="229" t="s">
        <v>664</v>
      </c>
      <c r="AR75" s="229"/>
      <c r="AS75" s="229"/>
      <c r="AT75" s="229"/>
    </row>
    <row r="76" spans="4:46" ht="15" customHeight="1">
      <c r="D76" s="221"/>
      <c r="E76" s="73" t="s">
        <v>230</v>
      </c>
      <c r="F76" s="74"/>
      <c r="G76" s="74" t="str">
        <f>traduzioni!A80</f>
        <v>Distance between upper/lower screws</v>
      </c>
      <c r="H76" s="73">
        <f>H72-H48</f>
        <v>170</v>
      </c>
      <c r="I76" s="73"/>
      <c r="J76" s="73" t="s">
        <v>35</v>
      </c>
      <c r="K76" s="80"/>
      <c r="AH76" s="5" t="s">
        <v>6</v>
      </c>
      <c r="AI76" s="5">
        <f>--MID(H32,14,2)</f>
        <v>40</v>
      </c>
      <c r="AJ76" s="5" t="str">
        <f>H34</f>
        <v>L</v>
      </c>
      <c r="AK76" s="64"/>
      <c r="AL76" s="64">
        <f t="shared" ref="AL76:AL86" si="0">IF(AJ76="L",AI76,0)</f>
        <v>40</v>
      </c>
      <c r="AM76" s="64">
        <f>AI76</f>
        <v>40</v>
      </c>
      <c r="AN76" s="64">
        <f>IF(AM76&lt;$AO$74,AM76,"non compreso int")</f>
        <v>40</v>
      </c>
      <c r="AO76" s="64">
        <f>AN76*IF(AL76=0,0,1)</f>
        <v>40</v>
      </c>
      <c r="AP76" s="64"/>
      <c r="AQ76" s="64">
        <f>IF(AJ76="C",AI76,0)</f>
        <v>0</v>
      </c>
      <c r="AR76" s="64">
        <f>AM76</f>
        <v>40</v>
      </c>
      <c r="AS76" s="64">
        <f>IF(AR76&lt;$AO$74,AR76,"non compreso int")</f>
        <v>40</v>
      </c>
      <c r="AT76" s="64">
        <f>AS76*IF(AQ76=0,0,1)</f>
        <v>0</v>
      </c>
    </row>
    <row r="77" spans="4:46" ht="15" customHeight="1">
      <c r="AH77" s="5" t="s">
        <v>7</v>
      </c>
      <c r="AI77" s="5">
        <f>--MID(H32,14+3,2)</f>
        <v>40</v>
      </c>
      <c r="AJ77" s="5" t="str">
        <f>IF(AJ76="L","T")</f>
        <v>T</v>
      </c>
      <c r="AK77" s="64"/>
      <c r="AL77" s="64">
        <f t="shared" si="0"/>
        <v>0</v>
      </c>
      <c r="AM77" s="64">
        <f>AI77</f>
        <v>40</v>
      </c>
      <c r="AN77" s="64">
        <f>IF(AM77+AN76&lt;$AO$74,AM77,AO74-AN76)</f>
        <v>25</v>
      </c>
      <c r="AO77" s="64">
        <f>AN77*IF(AL77=0,0,1)</f>
        <v>0</v>
      </c>
      <c r="AP77" s="64"/>
      <c r="AQ77" s="64">
        <f t="shared" ref="AQ77:AQ86" si="1">IF(AJ77="C",AI77,0)</f>
        <v>0</v>
      </c>
      <c r="AR77" s="64">
        <f t="shared" ref="AR77:AR86" si="2">AM77</f>
        <v>40</v>
      </c>
      <c r="AS77" s="64" t="str">
        <f>IF(AR77+AS76&lt;$AO$74,AR77,"non compreso int")</f>
        <v>non compreso int</v>
      </c>
      <c r="AT77" s="64" t="e">
        <f>AS77*IF(AQ77=0,0,1)</f>
        <v>#VALUE!</v>
      </c>
    </row>
    <row r="78" spans="4:46" ht="15" customHeight="1">
      <c r="D78" s="219" t="str">
        <f>traduzioni!A82</f>
        <v>Verification</v>
      </c>
      <c r="E78" s="70" t="s">
        <v>383</v>
      </c>
      <c r="F78" s="71"/>
      <c r="G78" s="71" t="str">
        <f>traduzioni!A83</f>
        <v>Maximum action on single screw</v>
      </c>
      <c r="H78" s="140">
        <f>'CALCOLI STS (slab to slab)'!H83</f>
        <v>11.172217602872172</v>
      </c>
      <c r="I78" s="10"/>
      <c r="J78" s="134" t="s">
        <v>55</v>
      </c>
      <c r="K78" s="11"/>
      <c r="AH78" s="5" t="s">
        <v>8</v>
      </c>
      <c r="AI78" s="5">
        <f>--MID(H32,14+3+3,2)</f>
        <v>30</v>
      </c>
      <c r="AJ78" s="5" t="str">
        <f>AJ76</f>
        <v>L</v>
      </c>
      <c r="AK78" s="64"/>
      <c r="AL78" s="64">
        <f t="shared" si="0"/>
        <v>30</v>
      </c>
      <c r="AM78" s="64">
        <f t="shared" ref="AM78:AM86" si="3">AI78</f>
        <v>30</v>
      </c>
      <c r="AN78" s="64">
        <f>IF(AM78+AN76+AN77&lt;$AO$74,AM78,AO74-AN76-AN77)</f>
        <v>0</v>
      </c>
      <c r="AO78" s="64">
        <f>AN78*IF(AL78=0,0,1)</f>
        <v>0</v>
      </c>
      <c r="AP78" s="64"/>
      <c r="AQ78" s="64">
        <f t="shared" si="1"/>
        <v>0</v>
      </c>
      <c r="AR78" s="64">
        <f t="shared" si="2"/>
        <v>30</v>
      </c>
      <c r="AS78" s="64" t="e">
        <f>IF(AR78+AS76+AS77&lt;$AO$74,AR78,AO74-AS76-AS77)</f>
        <v>#VALUE!</v>
      </c>
      <c r="AT78" s="64" t="e">
        <f>AS78*IF(AQ78=0,0,1)</f>
        <v>#VALUE!</v>
      </c>
    </row>
    <row r="79" spans="4:46" ht="15" customHeight="1">
      <c r="D79" s="220"/>
      <c r="E79" s="35" t="s">
        <v>169</v>
      </c>
      <c r="F79" s="38"/>
      <c r="G79" s="38" t="str">
        <f>traduzioni!A84</f>
        <v>Single screw axial resistance timber/steel side</v>
      </c>
      <c r="H79" s="16">
        <f>'CALCOLI STS (slab to slab)'!H93</f>
        <v>15.619848046965735</v>
      </c>
      <c r="I79" s="16"/>
      <c r="J79" s="2" t="s">
        <v>55</v>
      </c>
      <c r="K79" s="135"/>
      <c r="AH79" s="5" t="s">
        <v>9</v>
      </c>
      <c r="AI79" s="5">
        <f>--MID(H32,14+3+3+3,2)</f>
        <v>40</v>
      </c>
      <c r="AJ79" s="5" t="str">
        <f>IF(AJ76="L","T")</f>
        <v>T</v>
      </c>
      <c r="AK79" s="64"/>
      <c r="AL79" s="64">
        <f t="shared" si="0"/>
        <v>0</v>
      </c>
      <c r="AM79" s="64">
        <f t="shared" si="3"/>
        <v>40</v>
      </c>
      <c r="AN79" s="64">
        <f>IF(AM79+AN76+AN77+AN78&lt;$AO$74,AM79,AO74-AN76-AN77-AN78)</f>
        <v>0</v>
      </c>
      <c r="AO79" s="64">
        <f t="shared" ref="AO79:AO85" si="4">AN79*IF(AL79=0,0,1)</f>
        <v>0</v>
      </c>
      <c r="AP79" s="64"/>
      <c r="AQ79" s="64">
        <f t="shared" si="1"/>
        <v>0</v>
      </c>
      <c r="AR79" s="64">
        <f t="shared" si="2"/>
        <v>40</v>
      </c>
      <c r="AS79" s="64" t="e">
        <f>IF(AR79+AS76+AS77+AS78&lt;$AO$74,AR79,AO74-AS76-AS77-AS78)</f>
        <v>#VALUE!</v>
      </c>
      <c r="AT79" s="64" t="e">
        <f>AS79*IF(AQ79=0,0,1)</f>
        <v>#VALUE!</v>
      </c>
    </row>
    <row r="80" spans="4:46" ht="15" customHeight="1">
      <c r="D80" s="220"/>
      <c r="E80" s="96" t="s">
        <v>141</v>
      </c>
      <c r="G80" s="97" t="str">
        <f>traduzioni!A85</f>
        <v>Axial stress work ratio</v>
      </c>
      <c r="H80" s="147">
        <f>'CALCOLI STS (slab to slab)'!H95</f>
        <v>71.525776494621226</v>
      </c>
      <c r="I80" s="136"/>
      <c r="J80" s="145" t="s">
        <v>102</v>
      </c>
      <c r="K80" s="79" t="str">
        <f>IF(H80&lt;100,"OK","NO")</f>
        <v>OK</v>
      </c>
      <c r="AH80" s="5" t="s">
        <v>10</v>
      </c>
      <c r="AI80" s="5">
        <f>--MID(H32,14+3+3+3+3,2)</f>
        <v>30</v>
      </c>
      <c r="AJ80" s="5" t="str">
        <f>AJ76</f>
        <v>L</v>
      </c>
      <c r="AK80" s="64"/>
      <c r="AL80" s="64">
        <f t="shared" si="0"/>
        <v>30</v>
      </c>
      <c r="AM80" s="64">
        <f t="shared" si="3"/>
        <v>30</v>
      </c>
      <c r="AN80" s="64"/>
      <c r="AO80" s="64">
        <f t="shared" si="4"/>
        <v>0</v>
      </c>
      <c r="AP80" s="64"/>
      <c r="AQ80" s="64">
        <f t="shared" si="1"/>
        <v>0</v>
      </c>
      <c r="AR80" s="64">
        <f t="shared" si="2"/>
        <v>30</v>
      </c>
      <c r="AS80" s="64"/>
      <c r="AT80" s="64">
        <f>AS80*IF(AQ80=0,0,1)</f>
        <v>0</v>
      </c>
    </row>
    <row r="81" spans="4:46" ht="15" customHeight="1">
      <c r="D81" s="220"/>
      <c r="E81" s="35" t="s">
        <v>421</v>
      </c>
      <c r="G81" s="38" t="str">
        <f>traduzioni!A86</f>
        <v>Maximum shear action</v>
      </c>
      <c r="H81" s="16">
        <f>'CALCOLI STS (slab to slab)'!H91</f>
        <v>0</v>
      </c>
      <c r="I81" s="16"/>
      <c r="J81" s="2" t="s">
        <v>55</v>
      </c>
      <c r="K81" s="135"/>
      <c r="AH81" s="5" t="s">
        <v>11</v>
      </c>
      <c r="AI81" s="5">
        <f>--MID(H32,14+3+3+3+3+3,2)</f>
        <v>40</v>
      </c>
      <c r="AJ81" s="5" t="str">
        <f>IF(AJ76="L","T")</f>
        <v>T</v>
      </c>
      <c r="AK81" s="64"/>
      <c r="AL81" s="64">
        <f t="shared" si="0"/>
        <v>0</v>
      </c>
      <c r="AM81" s="64">
        <f t="shared" si="3"/>
        <v>40</v>
      </c>
      <c r="AN81" s="64"/>
      <c r="AO81" s="64">
        <f t="shared" si="4"/>
        <v>0</v>
      </c>
      <c r="AP81" s="64"/>
      <c r="AQ81" s="64">
        <f t="shared" si="1"/>
        <v>0</v>
      </c>
      <c r="AR81" s="64">
        <f t="shared" si="2"/>
        <v>40</v>
      </c>
      <c r="AS81" s="64"/>
      <c r="AT81" s="64">
        <f t="shared" ref="AT81:AT85" si="5">AS81*IF(AQ81=0,0,1)</f>
        <v>0</v>
      </c>
    </row>
    <row r="82" spans="4:46" ht="15" customHeight="1">
      <c r="D82" s="220"/>
      <c r="E82" s="35" t="s">
        <v>170</v>
      </c>
      <c r="F82" s="38"/>
      <c r="G82" s="38" t="str">
        <f>traduzioni!A87</f>
        <v>Single screw shear strength</v>
      </c>
      <c r="H82" s="16">
        <f>'CALCOLI STS (slab to slab)'!H94</f>
        <v>4.209713784863423</v>
      </c>
      <c r="I82" s="16"/>
      <c r="J82" s="2" t="s">
        <v>55</v>
      </c>
      <c r="K82" s="12"/>
      <c r="L82" s="4"/>
      <c r="M82" s="4"/>
      <c r="AH82" s="5" t="s">
        <v>12</v>
      </c>
      <c r="AI82" s="5">
        <f>--MID(H32,14+3+3+3+3+3+3,2)</f>
        <v>40</v>
      </c>
      <c r="AJ82" s="5" t="str">
        <f>AJ76</f>
        <v>L</v>
      </c>
      <c r="AK82" s="64"/>
      <c r="AL82" s="64">
        <f t="shared" si="0"/>
        <v>40</v>
      </c>
      <c r="AM82" s="64">
        <f t="shared" si="3"/>
        <v>40</v>
      </c>
      <c r="AN82" s="64"/>
      <c r="AO82" s="64">
        <f t="shared" si="4"/>
        <v>0</v>
      </c>
      <c r="AP82" s="64"/>
      <c r="AQ82" s="64">
        <f t="shared" si="1"/>
        <v>0</v>
      </c>
      <c r="AR82" s="64">
        <f t="shared" si="2"/>
        <v>40</v>
      </c>
      <c r="AS82" s="64"/>
      <c r="AT82" s="64">
        <f t="shared" si="5"/>
        <v>0</v>
      </c>
    </row>
    <row r="83" spans="4:46" ht="15" customHeight="1">
      <c r="D83" s="220"/>
      <c r="E83" s="96" t="s">
        <v>141</v>
      </c>
      <c r="G83" s="97" t="str">
        <f>traduzioni!A88</f>
        <v>Shear stress work ratio</v>
      </c>
      <c r="H83" s="143">
        <f>'CALCOLI STS (slab to slab)'!H96</f>
        <v>0</v>
      </c>
      <c r="I83" s="16"/>
      <c r="J83" s="145" t="s">
        <v>102</v>
      </c>
      <c r="K83" s="79" t="str">
        <f>IF(H83&lt;100,"OK","NO")</f>
        <v>OK</v>
      </c>
      <c r="L83" s="9"/>
      <c r="M83" s="9"/>
      <c r="AH83" s="5" t="s">
        <v>13</v>
      </c>
      <c r="AI83" s="5" t="e">
        <f>--MID(H32,14+3+3+3+3+3+3+3,2)</f>
        <v>#VALUE!</v>
      </c>
      <c r="AJ83" s="5" t="str">
        <f>IF(AJ76="L","T")</f>
        <v>T</v>
      </c>
      <c r="AK83" s="64"/>
      <c r="AL83" s="64">
        <f t="shared" si="0"/>
        <v>0</v>
      </c>
      <c r="AM83" s="64" t="e">
        <f t="shared" si="3"/>
        <v>#VALUE!</v>
      </c>
      <c r="AN83" s="64"/>
      <c r="AO83" s="64">
        <f t="shared" si="4"/>
        <v>0</v>
      </c>
      <c r="AP83" s="64"/>
      <c r="AQ83" s="64">
        <f t="shared" si="1"/>
        <v>0</v>
      </c>
      <c r="AR83" s="64" t="e">
        <f t="shared" si="2"/>
        <v>#VALUE!</v>
      </c>
      <c r="AS83" s="64"/>
      <c r="AT83" s="64">
        <f t="shared" si="5"/>
        <v>0</v>
      </c>
    </row>
    <row r="84" spans="4:46" ht="15" customHeight="1">
      <c r="D84" s="221"/>
      <c r="E84" s="100" t="s">
        <v>141</v>
      </c>
      <c r="F84" s="13"/>
      <c r="G84" s="101" t="str">
        <f>traduzioni!A89</f>
        <v>Combined shear-axial working ratio</v>
      </c>
      <c r="H84" s="144">
        <f>'CALCOLI STS (slab to slab)'!H97</f>
        <v>51.159367031585113</v>
      </c>
      <c r="I84" s="137"/>
      <c r="J84" s="146" t="s">
        <v>102</v>
      </c>
      <c r="K84" s="80" t="str">
        <f>IF(H84&lt;100,"OK","NO")</f>
        <v>OK</v>
      </c>
      <c r="L84" s="4"/>
      <c r="M84" s="4"/>
      <c r="AH84" s="5" t="s">
        <v>14</v>
      </c>
      <c r="AI84" s="5" t="e">
        <f>--MID(H32,14+3+3+3+3+3+3+3+3,2)</f>
        <v>#VALUE!</v>
      </c>
      <c r="AJ84" s="5" t="str">
        <f>AJ76</f>
        <v>L</v>
      </c>
      <c r="AK84" s="64"/>
      <c r="AL84" s="64" t="e">
        <f t="shared" si="0"/>
        <v>#VALUE!</v>
      </c>
      <c r="AM84" s="64" t="e">
        <f t="shared" si="3"/>
        <v>#VALUE!</v>
      </c>
      <c r="AN84" s="64"/>
      <c r="AO84" s="64" t="e">
        <f t="shared" si="4"/>
        <v>#VALUE!</v>
      </c>
      <c r="AP84" s="64"/>
      <c r="AQ84" s="64">
        <f t="shared" si="1"/>
        <v>0</v>
      </c>
      <c r="AR84" s="64" t="e">
        <f t="shared" si="2"/>
        <v>#VALUE!</v>
      </c>
      <c r="AS84" s="64"/>
      <c r="AT84" s="64">
        <f t="shared" si="5"/>
        <v>0</v>
      </c>
    </row>
    <row r="85" spans="4:46" ht="15" customHeight="1">
      <c r="D85" s="38"/>
      <c r="H85" s="3"/>
      <c r="I85" s="3"/>
      <c r="AH85" s="5" t="s">
        <v>58</v>
      </c>
      <c r="AI85" s="5" t="e">
        <f>--MID(H32,14+3+3+3+3+3+3+3+3+3,2)</f>
        <v>#VALUE!</v>
      </c>
      <c r="AJ85" s="5" t="str">
        <f>IF(AJ76="L","T")</f>
        <v>T</v>
      </c>
      <c r="AK85" s="64"/>
      <c r="AL85" s="64">
        <f t="shared" si="0"/>
        <v>0</v>
      </c>
      <c r="AM85" s="64" t="e">
        <f t="shared" si="3"/>
        <v>#VALUE!</v>
      </c>
      <c r="AN85" s="64"/>
      <c r="AO85" s="64">
        <f t="shared" si="4"/>
        <v>0</v>
      </c>
      <c r="AP85" s="64"/>
      <c r="AQ85" s="64">
        <f t="shared" si="1"/>
        <v>0</v>
      </c>
      <c r="AR85" s="64" t="e">
        <f t="shared" si="2"/>
        <v>#VALUE!</v>
      </c>
      <c r="AS85" s="64"/>
      <c r="AT85" s="64">
        <f t="shared" si="5"/>
        <v>0</v>
      </c>
    </row>
    <row r="86" spans="4:46" ht="15" customHeight="1">
      <c r="D86" s="243" t="str">
        <f>traduzioni!A90</f>
        <v>Concrete side anchorage verification</v>
      </c>
      <c r="E86" s="134"/>
      <c r="F86" s="10"/>
      <c r="G86" s="71" t="str">
        <f>traduzioni!A91</f>
        <v>Effective length</v>
      </c>
      <c r="H86" s="142">
        <f>'CALCOLI STS (slab to slab)'!H101</f>
        <v>180</v>
      </c>
      <c r="I86" s="139"/>
      <c r="J86" s="134" t="s">
        <v>35</v>
      </c>
      <c r="K86" s="11"/>
      <c r="AH86" s="5" t="s">
        <v>59</v>
      </c>
      <c r="AI86" s="5" t="e">
        <f>--MID(H32,14+3+3+3+3+3+3+3+3+3+3,2)</f>
        <v>#VALUE!</v>
      </c>
      <c r="AJ86" s="5" t="str">
        <f>AJ76</f>
        <v>L</v>
      </c>
      <c r="AK86" s="64"/>
      <c r="AL86" s="64" t="e">
        <f t="shared" si="0"/>
        <v>#VALUE!</v>
      </c>
      <c r="AM86" s="64" t="e">
        <f t="shared" si="3"/>
        <v>#VALUE!</v>
      </c>
      <c r="AN86" s="64"/>
      <c r="AO86" s="64" t="e">
        <f>AN86*IF(AL86=0,0,1)</f>
        <v>#VALUE!</v>
      </c>
      <c r="AP86" s="64"/>
      <c r="AQ86" s="64">
        <f t="shared" si="1"/>
        <v>0</v>
      </c>
      <c r="AR86" s="64" t="e">
        <f t="shared" si="2"/>
        <v>#VALUE!</v>
      </c>
      <c r="AS86" s="64"/>
      <c r="AT86" s="64">
        <f>AS86*IF(AQ86=0,0,1)</f>
        <v>0</v>
      </c>
    </row>
    <row r="87" spans="4:46" ht="15" customHeight="1">
      <c r="D87" s="244"/>
      <c r="E87" s="35" t="s">
        <v>139</v>
      </c>
      <c r="F87" s="38"/>
      <c r="G87" s="38" t="str">
        <f>traduzioni!A92</f>
        <v>Minimum anchor length</v>
      </c>
      <c r="H87" s="3">
        <f>'CALCOLI STS (slab to slab)'!H102</f>
        <v>100</v>
      </c>
      <c r="I87" s="3"/>
      <c r="J87" s="2" t="s">
        <v>35</v>
      </c>
      <c r="K87" s="12"/>
      <c r="AK87" s="64"/>
      <c r="AL87" s="64"/>
      <c r="AM87" s="64" t="s">
        <v>290</v>
      </c>
      <c r="AN87" s="64">
        <f>AN76/2</f>
        <v>20</v>
      </c>
      <c r="AO87" s="64" t="s">
        <v>35</v>
      </c>
      <c r="AP87" s="64"/>
      <c r="AQ87" s="64"/>
      <c r="AR87" s="64" t="s">
        <v>290</v>
      </c>
      <c r="AS87" s="64" t="e">
        <f>AS76+AS77/2</f>
        <v>#VALUE!</v>
      </c>
      <c r="AT87" s="64" t="s">
        <v>35</v>
      </c>
    </row>
    <row r="88" spans="4:46" ht="15" customHeight="1">
      <c r="D88" s="244"/>
      <c r="E88" s="96" t="s">
        <v>141</v>
      </c>
      <c r="F88" s="38"/>
      <c r="G88" s="97" t="str">
        <f>traduzioni!A93</f>
        <v>Degree of utilization</v>
      </c>
      <c r="H88" s="143">
        <f>'CALCOLI STS (slab to slab)'!H103</f>
        <v>55.555555555555557</v>
      </c>
      <c r="I88" s="3"/>
      <c r="J88" s="145" t="s">
        <v>102</v>
      </c>
      <c r="K88" s="79" t="str">
        <f>IF(H88&lt;100,"OK","NO")</f>
        <v>OK</v>
      </c>
      <c r="AK88" s="64"/>
      <c r="AL88" s="64"/>
      <c r="AM88" s="64" t="s">
        <v>291</v>
      </c>
      <c r="AN88" s="65">
        <f>0.5*((AO78^2)+(2*(AO78)*(AO78+AO76))+(AO76^2))/(AO76+AO78)</f>
        <v>20</v>
      </c>
      <c r="AO88" s="64" t="s">
        <v>35</v>
      </c>
      <c r="AP88" s="64"/>
      <c r="AQ88" s="64"/>
      <c r="AR88" s="64" t="s">
        <v>291</v>
      </c>
      <c r="AS88" s="66" t="e">
        <f>+AS76+(0.5*((AT79^2)+(2*(AT79)*(AT79+AT77))+(AT77^2))/(AT77+AT79))</f>
        <v>#VALUE!</v>
      </c>
      <c r="AT88" s="64" t="s">
        <v>35</v>
      </c>
    </row>
    <row r="89" spans="4:46" ht="15" customHeight="1">
      <c r="D89" s="244"/>
      <c r="F89" s="38"/>
      <c r="G89" s="38" t="str">
        <f>traduzioni!A94</f>
        <v>Effective length</v>
      </c>
      <c r="H89" s="3">
        <f>'CALCOLI STS (slab to slab)'!H107</f>
        <v>160</v>
      </c>
      <c r="I89" s="16"/>
      <c r="J89" s="2" t="s">
        <v>35</v>
      </c>
      <c r="K89" s="12"/>
      <c r="AK89" s="64"/>
      <c r="AL89" s="64"/>
      <c r="AM89" s="64"/>
      <c r="AN89" s="65">
        <f>MIN(AN87,AN88)</f>
        <v>20</v>
      </c>
      <c r="AO89" s="64" t="s">
        <v>35</v>
      </c>
      <c r="AP89" s="64"/>
      <c r="AQ89" s="64"/>
      <c r="AR89" s="64"/>
      <c r="AS89" s="66" t="e">
        <f>MIN(AS87,AS88)</f>
        <v>#VALUE!</v>
      </c>
      <c r="AT89" s="64" t="s">
        <v>35</v>
      </c>
    </row>
    <row r="90" spans="4:46" ht="15" customHeight="1">
      <c r="D90" s="244"/>
      <c r="E90" s="35" t="s">
        <v>144</v>
      </c>
      <c r="F90" s="38"/>
      <c r="G90" s="38" t="str">
        <f>traduzioni!A95</f>
        <v>Minimum overlap length</v>
      </c>
      <c r="H90" s="2">
        <f>'CALCOLI STS (slab to slab)'!H106</f>
        <v>154</v>
      </c>
      <c r="J90" s="2" t="s">
        <v>35</v>
      </c>
      <c r="K90" s="12"/>
      <c r="R90" s="4"/>
      <c r="X90" s="64"/>
      <c r="Y90" s="64"/>
      <c r="Z90" s="64"/>
      <c r="AA90" s="64"/>
      <c r="AB90" s="64"/>
      <c r="AC90" s="64"/>
      <c r="AD90" s="64"/>
      <c r="AE90" s="64"/>
      <c r="AF90" s="64"/>
      <c r="AG90" s="64"/>
      <c r="AH90" s="64"/>
    </row>
    <row r="91" spans="4:46" ht="15" customHeight="1">
      <c r="D91" s="245"/>
      <c r="E91" s="100" t="s">
        <v>146</v>
      </c>
      <c r="F91" s="74"/>
      <c r="G91" s="101" t="str">
        <f>traduzioni!A96</f>
        <v>Degree of utilization</v>
      </c>
      <c r="H91" s="144">
        <f>'CALCOLI STS (slab to slab)'!H108</f>
        <v>96.25</v>
      </c>
      <c r="I91" s="138"/>
      <c r="J91" s="146" t="s">
        <v>102</v>
      </c>
      <c r="K91" s="80" t="str">
        <f>IF(H91&lt;100,"OK","NO")</f>
        <v>OK</v>
      </c>
      <c r="R91" s="18"/>
      <c r="X91" s="64"/>
      <c r="Y91" s="64"/>
      <c r="Z91" s="64"/>
      <c r="AA91" s="64"/>
      <c r="AB91" s="64"/>
      <c r="AC91" s="64"/>
      <c r="AD91" s="64"/>
      <c r="AE91" s="64"/>
      <c r="AF91" s="64"/>
      <c r="AG91" s="64"/>
      <c r="AH91" s="64"/>
    </row>
    <row r="92" spans="4:46" ht="15" customHeight="1">
      <c r="D92" s="38"/>
      <c r="H92" s="16"/>
      <c r="R92" s="4"/>
      <c r="X92" s="64"/>
      <c r="Y92" s="64"/>
      <c r="Z92" s="64"/>
      <c r="AA92" s="64"/>
      <c r="AB92" s="64"/>
      <c r="AC92" s="64"/>
      <c r="AD92" s="64"/>
      <c r="AE92" s="64"/>
      <c r="AF92" s="64"/>
      <c r="AG92" s="64"/>
      <c r="AH92" s="64"/>
    </row>
    <row r="93" spans="4:46" ht="15" customHeight="1">
      <c r="D93" s="243" t="str">
        <f>traduzioni!A97</f>
        <v>Stiffnesses</v>
      </c>
      <c r="E93" s="70" t="s">
        <v>252</v>
      </c>
      <c r="F93" s="71"/>
      <c r="G93" s="71" t="str">
        <f>traduzioni!A98</f>
        <v>Shear stiffness</v>
      </c>
      <c r="H93" s="139">
        <f>'CALCOLI STS (slab to slab)'!H110</f>
        <v>19283.483171659776</v>
      </c>
      <c r="I93" s="134"/>
      <c r="J93" s="134" t="str">
        <f>'CALCOLI STS (slab to slab)'!J110</f>
        <v>[N/mm/m]</v>
      </c>
      <c r="K93" s="240" t="str">
        <f>traduzioni!A222</f>
        <v>(*) double the stiffness in case of non-symmetrical connection with single plane of connection</v>
      </c>
    </row>
    <row r="94" spans="4:46" ht="15" customHeight="1">
      <c r="D94" s="244"/>
      <c r="E94" s="35" t="s">
        <v>270</v>
      </c>
      <c r="F94" s="38"/>
      <c r="G94" s="38" t="str">
        <f>traduzioni!A99</f>
        <v>Axial stiffness</v>
      </c>
      <c r="H94" s="3">
        <f>'CALCOLI STS (slab to slab)'!H122</f>
        <v>302500</v>
      </c>
      <c r="J94" s="2" t="str">
        <f>'CALCOLI STS (slab to slab)'!J122</f>
        <v>[N/mm/m]</v>
      </c>
      <c r="K94" s="241"/>
      <c r="U94" s="37"/>
      <c r="V94" s="37"/>
      <c r="W94" s="37"/>
      <c r="X94" s="37"/>
    </row>
    <row r="95" spans="4:46" ht="15" customHeight="1">
      <c r="D95" s="245"/>
      <c r="E95" s="73" t="s">
        <v>285</v>
      </c>
      <c r="F95" s="74"/>
      <c r="G95" s="74" t="str">
        <f>traduzioni!A100</f>
        <v>Rotational stiffness (*)</v>
      </c>
      <c r="H95" s="141">
        <f>'CALCOLI STS (slab to slab)'!H129</f>
        <v>5203.7556710101398</v>
      </c>
      <c r="I95" s="138"/>
      <c r="J95" s="138" t="str">
        <f>'CALCOLI STS (slab to slab)'!J129</f>
        <v>[kNmm/Rad/m]</v>
      </c>
      <c r="K95" s="242"/>
      <c r="U95" s="37"/>
    </row>
    <row r="96" spans="4:46" ht="15" customHeight="1">
      <c r="D96" s="38"/>
      <c r="H96" s="16"/>
      <c r="S96" s="4"/>
      <c r="U96" s="37"/>
      <c r="W96" s="4"/>
    </row>
    <row r="97" spans="4:23">
      <c r="D97" s="38"/>
      <c r="S97" s="4"/>
      <c r="U97" s="37"/>
      <c r="W97" s="4"/>
    </row>
    <row r="98" spans="4:23">
      <c r="J98" s="181"/>
      <c r="U98" s="37"/>
    </row>
    <row r="99" spans="4:23">
      <c r="D99" s="38"/>
      <c r="H99" s="16"/>
      <c r="I99" s="16"/>
      <c r="U99" s="37"/>
    </row>
    <row r="100" spans="4:23">
      <c r="D100" s="38"/>
      <c r="E100" s="181"/>
      <c r="H100" s="16"/>
      <c r="S100" s="4"/>
      <c r="U100" s="37"/>
      <c r="W100" s="4"/>
    </row>
    <row r="101" spans="4:23">
      <c r="D101" s="38"/>
      <c r="E101" s="17"/>
      <c r="H101" s="16"/>
      <c r="I101" s="16"/>
      <c r="U101" s="37"/>
      <c r="W101" s="4"/>
    </row>
    <row r="102" spans="4:23">
      <c r="D102" s="38"/>
      <c r="E102" s="17"/>
      <c r="H102" s="16"/>
      <c r="N102" s="7"/>
    </row>
    <row r="103" spans="4:23">
      <c r="D103" s="38"/>
      <c r="E103" s="17"/>
      <c r="H103" s="16"/>
      <c r="N103" s="8"/>
    </row>
    <row r="104" spans="4:23"/>
    <row r="105" spans="4:23"/>
    <row r="106" spans="4:23" hidden="1">
      <c r="D106" s="38"/>
      <c r="H106" s="3"/>
      <c r="I106" s="3"/>
    </row>
    <row r="107" spans="4:23" hidden="1">
      <c r="D107" s="38"/>
      <c r="H107" s="3"/>
      <c r="I107" s="3"/>
    </row>
    <row r="108" spans="4:23" hidden="1">
      <c r="D108" s="38"/>
    </row>
    <row r="109" spans="4:23" hidden="1">
      <c r="D109" s="38"/>
    </row>
    <row r="110" spans="4:23" hidden="1">
      <c r="D110" s="38"/>
      <c r="E110" s="17"/>
      <c r="H110" s="16"/>
      <c r="I110" s="16"/>
    </row>
    <row r="111" spans="4:23" hidden="1">
      <c r="D111" s="38"/>
    </row>
    <row r="112" spans="4:23" hidden="1">
      <c r="D112" s="38"/>
      <c r="H112" s="16"/>
      <c r="I112" s="16"/>
    </row>
    <row r="113" spans="4:9" hidden="1">
      <c r="D113" s="38"/>
    </row>
    <row r="114" spans="4:9" hidden="1">
      <c r="D114" s="38"/>
    </row>
    <row r="115" spans="4:9" hidden="1">
      <c r="D115" s="38"/>
      <c r="E115" s="17"/>
      <c r="H115" s="16"/>
      <c r="I115" s="16"/>
    </row>
    <row r="116" spans="4:9" hidden="1">
      <c r="D116" s="35"/>
      <c r="E116" s="17"/>
      <c r="H116" s="16"/>
      <c r="I116" s="16"/>
    </row>
    <row r="117" spans="4:9" hidden="1">
      <c r="D117" s="38"/>
      <c r="E117" s="17"/>
      <c r="H117" s="16"/>
      <c r="I117" s="16"/>
    </row>
    <row r="118" spans="4:9" hidden="1">
      <c r="D118" s="38"/>
      <c r="H118" s="16"/>
      <c r="I118" s="16"/>
    </row>
    <row r="119" spans="4:9" hidden="1">
      <c r="D119" s="38"/>
    </row>
    <row r="120" spans="4:9" hidden="1">
      <c r="D120" s="38"/>
    </row>
    <row r="121" spans="4:9" hidden="1">
      <c r="D121" s="38"/>
    </row>
    <row r="122" spans="4:9" hidden="1">
      <c r="D122" s="38"/>
      <c r="G122" s="34"/>
      <c r="H122"/>
    </row>
    <row r="123" spans="4:9" hidden="1">
      <c r="D123" s="38"/>
      <c r="G123" s="34"/>
      <c r="H123"/>
    </row>
    <row r="124" spans="4:9" hidden="1">
      <c r="D124" s="38"/>
      <c r="G124" s="34"/>
      <c r="H124"/>
    </row>
    <row r="125" spans="4:9" hidden="1">
      <c r="D125" s="38"/>
    </row>
    <row r="126" spans="4:9" hidden="1">
      <c r="D126" s="38"/>
      <c r="H126" s="3"/>
    </row>
    <row r="127" spans="4:9" hidden="1">
      <c r="D127" s="38"/>
      <c r="H127" s="3"/>
    </row>
    <row r="128" spans="4:9" hidden="1">
      <c r="D128" s="38"/>
      <c r="H128" s="3"/>
    </row>
    <row r="129" spans="4:8" hidden="1">
      <c r="D129" s="38"/>
      <c r="H129" s="3"/>
    </row>
    <row r="130" spans="4:8" hidden="1">
      <c r="D130" s="38"/>
      <c r="H130" s="3"/>
    </row>
    <row r="131" spans="4:8" hidden="1">
      <c r="D131" s="38"/>
      <c r="H131" s="3"/>
    </row>
    <row r="132" spans="4:8" hidden="1">
      <c r="D132" s="38"/>
      <c r="H132" s="3"/>
    </row>
    <row r="133" spans="4:8" hidden="1">
      <c r="D133" s="38"/>
      <c r="H133" s="3"/>
    </row>
    <row r="134" spans="4:8" hidden="1">
      <c r="D134" s="38"/>
      <c r="H134" s="3"/>
    </row>
    <row r="135" spans="4:8" hidden="1">
      <c r="D135" s="38"/>
      <c r="H135" s="3"/>
    </row>
    <row r="136" spans="4:8" hidden="1">
      <c r="D136" s="38"/>
      <c r="H136" s="36"/>
    </row>
    <row r="137" spans="4:8" hidden="1">
      <c r="D137" s="38"/>
      <c r="H137" s="3"/>
    </row>
    <row r="138" spans="4:8" hidden="1">
      <c r="D138" s="38"/>
      <c r="E138" s="67"/>
      <c r="H138" s="36"/>
    </row>
    <row r="139" spans="4:8" hidden="1">
      <c r="D139" s="38"/>
      <c r="H139" s="3"/>
    </row>
    <row r="140" spans="4:8" hidden="1">
      <c r="D140" s="38"/>
    </row>
    <row r="141" spans="4:8" hidden="1">
      <c r="D141" s="38"/>
    </row>
  </sheetData>
  <sheetProtection algorithmName="SHA-512" hashValue="gzXkFaxMuhh11gUV0T0E2RCvCdjXLV3RCJ+nJS4cPQCLEY3pQmzztvr+exaJC5YYZqnTudMDVO8pxaiK79flyw==" saltValue="J2sIkt2DL6PoFosqkxzAqw==" spinCount="100000" sheet="1" objects="1" scenarios="1" selectLockedCells="1"/>
  <mergeCells count="22">
    <mergeCell ref="K93:K95"/>
    <mergeCell ref="D13:D15"/>
    <mergeCell ref="D78:D84"/>
    <mergeCell ref="D86:D91"/>
    <mergeCell ref="D93:D95"/>
    <mergeCell ref="D66:D76"/>
    <mergeCell ref="AL75:AO75"/>
    <mergeCell ref="AQ75:AT75"/>
    <mergeCell ref="D19:D28"/>
    <mergeCell ref="D30:D34"/>
    <mergeCell ref="D36:D49"/>
    <mergeCell ref="D51:D59"/>
    <mergeCell ref="I34:K34"/>
    <mergeCell ref="H32:J32"/>
    <mergeCell ref="D61:D64"/>
    <mergeCell ref="K71:K73"/>
    <mergeCell ref="K54:K56"/>
    <mergeCell ref="D8:D11"/>
    <mergeCell ref="H11:K11"/>
    <mergeCell ref="H9:K9"/>
    <mergeCell ref="H10:K10"/>
    <mergeCell ref="E2:J6"/>
  </mergeCells>
  <conditionalFormatting sqref="H71">
    <cfRule type="containsText" dxfId="45" priority="23" operator="containsText" text="YES &gt;">
      <formula>NOT(ISERROR(SEARCH("YES &gt;",H71)))</formula>
    </cfRule>
    <cfRule type="containsText" dxfId="44" priority="24" operator="containsText" text="NO, INCREASE a4 to">
      <formula>NOT(ISERROR(SEARCH("NO, INCREASE a4 to",H71)))</formula>
    </cfRule>
  </conditionalFormatting>
  <conditionalFormatting sqref="I42">
    <cfRule type="expression" dxfId="43" priority="25">
      <formula>IF($H$42="N",TRUE)</formula>
    </cfRule>
  </conditionalFormatting>
  <conditionalFormatting sqref="K40">
    <cfRule type="containsText" dxfId="42" priority="18" operator="containsText" text="emin&lt;esup&lt;emax">
      <formula>NOT(ISERROR(SEARCH("emin&lt;esup&lt;emax",K40)))</formula>
    </cfRule>
  </conditionalFormatting>
  <conditionalFormatting sqref="K40:K41">
    <cfRule type="containsText" dxfId="41" priority="16" operator="containsText" text="out of min/max spacing!">
      <formula>NOT(ISERROR(SEARCH("out of min/max spacing!",K40)))</formula>
    </cfRule>
  </conditionalFormatting>
  <conditionalFormatting sqref="K41">
    <cfRule type="containsText" dxfId="40" priority="17" operator="containsText" text="emin&lt;einf&lt;emax">
      <formula>NOT(ISERROR(SEARCH("emin&lt;einf&lt;emax",K41)))</formula>
    </cfRule>
  </conditionalFormatting>
  <conditionalFormatting sqref="K47">
    <cfRule type="containsText" dxfId="39" priority="19" operator="containsText" text="leff&gt;leff,min">
      <formula>NOT(ISERROR(SEARCH("leff&gt;leff,min",K47)))</formula>
    </cfRule>
    <cfRule type="containsText" dxfId="38" priority="20" operator="containsText" text="leff&lt;leff,min">
      <formula>NOT(ISERROR(SEARCH("leff&lt;leff,min",K47)))</formula>
    </cfRule>
  </conditionalFormatting>
  <conditionalFormatting sqref="K49">
    <cfRule type="containsText" dxfId="37" priority="14" operator="containsText" text="a4&gt;a4min">
      <formula>NOT(ISERROR(SEARCH("a4&gt;a4min",K49)))</formula>
    </cfRule>
    <cfRule type="containsText" dxfId="36" priority="15" operator="containsText" text="a4&lt;a4min">
      <formula>NOT(ISERROR(SEARCH("a4&lt;a4min",K49)))</formula>
    </cfRule>
  </conditionalFormatting>
  <conditionalFormatting sqref="K51">
    <cfRule type="containsText" dxfId="35" priority="11" operator="containsText" text="OK">
      <formula>NOT(ISERROR(SEARCH("OK",K51)))</formula>
    </cfRule>
  </conditionalFormatting>
  <conditionalFormatting sqref="K51:K52">
    <cfRule type="containsText" dxfId="34" priority="12" operator="containsText" text="NOT COVERED BY ETA">
      <formula>NOT(ISERROR(SEARCH("NOT COVERED BY ETA",K51)))</formula>
    </cfRule>
  </conditionalFormatting>
  <conditionalFormatting sqref="K74">
    <cfRule type="containsText" dxfId="33" priority="21" operator="containsText" text="l&gt;lmin">
      <formula>NOT(ISERROR(SEARCH("l&gt;lmin",K74)))</formula>
    </cfRule>
    <cfRule type="containsText" dxfId="32" priority="22" operator="containsText" text="l&lt;lmin">
      <formula>NOT(ISERROR(SEARCH("l&lt;lmin",K74)))</formula>
    </cfRule>
  </conditionalFormatting>
  <conditionalFormatting sqref="P51:P52">
    <cfRule type="cellIs" dxfId="31" priority="42" operator="lessThanOrEqual">
      <formula>MIN(#REF!,$P$51,$P$52)</formula>
    </cfRule>
  </conditionalFormatting>
  <conditionalFormatting sqref="P54:P55">
    <cfRule type="cellIs" dxfId="30" priority="31" operator="lessThanOrEqual">
      <formula>MIN($P$54,$P$55)</formula>
    </cfRule>
  </conditionalFormatting>
  <conditionalFormatting sqref="Q51:Q52">
    <cfRule type="cellIs" dxfId="29" priority="43" operator="lessThanOrEqual">
      <formula>MIN(#REF!,$Q$51,$Q$52)</formula>
    </cfRule>
  </conditionalFormatting>
  <conditionalFormatting sqref="Q54:Q55">
    <cfRule type="cellIs" dxfId="28" priority="30" operator="lessThanOrEqual">
      <formula>MIN($Q$54,$Q$55)</formula>
    </cfRule>
  </conditionalFormatting>
  <conditionalFormatting sqref="R51:R52">
    <cfRule type="cellIs" dxfId="27" priority="44" operator="lessThanOrEqual">
      <formula>MIN(#REF!,$R$51,$R$52)</formula>
    </cfRule>
  </conditionalFormatting>
  <conditionalFormatting sqref="R54:R55">
    <cfRule type="cellIs" dxfId="26" priority="29" operator="lessThanOrEqual">
      <formula>MIN($R$54,$R$55)</formula>
    </cfRule>
  </conditionalFormatting>
  <conditionalFormatting sqref="U56:U57">
    <cfRule type="containsText" dxfId="25" priority="27" operator="containsText" text="NO">
      <formula>NOT(ISERROR(SEARCH("NO",U56)))</formula>
    </cfRule>
    <cfRule type="containsText" dxfId="24" priority="28" operator="containsText" text="OK Annex E8">
      <formula>NOT(ISERROR(SEARCH("OK Annex E8",U56)))</formula>
    </cfRule>
  </conditionalFormatting>
  <conditionalFormatting sqref="K91">
    <cfRule type="containsText" dxfId="23" priority="9" operator="containsText" text="NO">
      <formula>NOT(ISERROR(SEARCH("NO",K91)))</formula>
    </cfRule>
    <cfRule type="containsText" dxfId="22" priority="10" operator="containsText" text="OK">
      <formula>NOT(ISERROR(SEARCH("OK",K91)))</formula>
    </cfRule>
  </conditionalFormatting>
  <conditionalFormatting sqref="K88">
    <cfRule type="containsText" dxfId="21" priority="7" operator="containsText" text="NO">
      <formula>NOT(ISERROR(SEARCH("NO",K88)))</formula>
    </cfRule>
    <cfRule type="containsText" dxfId="20" priority="8" operator="containsText" text="OK">
      <formula>NOT(ISERROR(SEARCH("OK",K88)))</formula>
    </cfRule>
  </conditionalFormatting>
  <conditionalFormatting sqref="K80">
    <cfRule type="containsText" dxfId="19" priority="5" operator="containsText" text="NO">
      <formula>NOT(ISERROR(SEARCH("NO",K80)))</formula>
    </cfRule>
    <cfRule type="containsText" dxfId="18" priority="6" operator="containsText" text="OK">
      <formula>NOT(ISERROR(SEARCH("OK",K80)))</formula>
    </cfRule>
  </conditionalFormatting>
  <conditionalFormatting sqref="K83">
    <cfRule type="containsText" dxfId="17" priority="3" operator="containsText" text="NO">
      <formula>NOT(ISERROR(SEARCH("NO",K83)))</formula>
    </cfRule>
    <cfRule type="containsText" dxfId="16" priority="4" operator="containsText" text="OK">
      <formula>NOT(ISERROR(SEARCH("OK",K83)))</formula>
    </cfRule>
  </conditionalFormatting>
  <conditionalFormatting sqref="K84">
    <cfRule type="containsText" dxfId="15" priority="1" operator="containsText" text="NO">
      <formula>NOT(ISERROR(SEARCH("NO",K84)))</formula>
    </cfRule>
    <cfRule type="containsText" dxfId="14" priority="2" operator="containsText" text="OK">
      <formula>NOT(ISERROR(SEARCH("OK",K84)))</formula>
    </cfRule>
  </conditionalFormatting>
  <dataValidations count="12">
    <dataValidation type="list" allowBlank="1" showInputMessage="1" showErrorMessage="1" sqref="H34" xr:uid="{436F0328-287B-44B4-A82A-D11308D86725}">
      <formula1>"L,T"</formula1>
    </dataValidation>
    <dataValidation type="list" allowBlank="1" showInputMessage="1" showErrorMessage="1" sqref="H40:H41" xr:uid="{38540666-05E7-4235-A97D-FA421C685E61}">
      <formula1>"100,125,150,175,200,225,250,275,300"</formula1>
    </dataValidation>
    <dataValidation type="list" allowBlank="1" showInputMessage="1" showErrorMessage="1" sqref="H14" xr:uid="{0CDB233D-3F07-46C8-ACB4-4CB043B4CA84}">
      <formula1>"EC 1995-1-1:2014,NTC 2018 (ITA)"</formula1>
    </dataValidation>
    <dataValidation type="list" allowBlank="1" showInputMessage="1" showErrorMessage="1" sqref="H37" xr:uid="{6AC63F46-7A57-4455-BE40-0E13377ABBD7}">
      <formula1>INDIRECT($H$36)</formula1>
    </dataValidation>
    <dataValidation type="list" allowBlank="1" showInputMessage="1" showErrorMessage="1" sqref="H36" xr:uid="{F8A72272-5E03-453A-9437-915870184E0A}">
      <formula1>SCREWS</formula1>
    </dataValidation>
    <dataValidation type="list" allowBlank="1" showInputMessage="1" showErrorMessage="1" sqref="H53" xr:uid="{D626F2B8-FCD4-42CD-8096-69EE542031C4}">
      <formula1>"6,8,10,12,14,16,18,20"</formula1>
    </dataValidation>
    <dataValidation type="list" allowBlank="1" showInputMessage="1" showErrorMessage="1" sqref="H52" xr:uid="{DB3D8827-99AD-46C4-8B33-9E6ED2863D53}">
      <formula1>"5,6,8,10"</formula1>
    </dataValidation>
    <dataValidation type="list" allowBlank="1" showInputMessage="1" showErrorMessage="1" sqref="H32" xr:uid="{89B19559-5968-41D6-9338-F452AB80A700}">
      <formula1>INDIRECT($H$31)</formula1>
    </dataValidation>
    <dataValidation type="list" allowBlank="1" showInputMessage="1" showErrorMessage="1" sqref="H31" xr:uid="{AFEE0E1D-FCFA-441D-B8D9-8232C63A7D89}">
      <formula1>LAYER</formula1>
    </dataValidation>
    <dataValidation type="list" allowBlank="1" showInputMessage="1" showErrorMessage="1" sqref="H42 H16:H17" xr:uid="{4F5D7D07-0579-470B-B32A-BEF40D59FAE2}">
      <formula1>"Y,N"</formula1>
    </dataValidation>
    <dataValidation type="list" allowBlank="1" showInputMessage="1" showErrorMessage="1" sqref="K8" xr:uid="{7DAFB497-D303-4D09-97BA-679CE7EC371B}">
      <formula1>"IT,EN,DE,ES,FR,PT"</formula1>
    </dataValidation>
    <dataValidation type="list" allowBlank="1" showInputMessage="1" showErrorMessage="1" sqref="H15" xr:uid="{5ED9AF1D-83A9-4910-9952-64CF3F244E5D}">
      <formula1>"EC 1992-1-1:2015,NTC 2018 (ITA)"</formula1>
    </dataValidation>
  </dataValidations>
  <pageMargins left="0.7" right="0.7" top="0.75" bottom="0.75" header="0.3" footer="0.3"/>
  <pageSetup paperSize="9" scale="55" fitToHeight="0"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5CB9AE43-FBD5-4B30-8683-2B98869F5B71}">
          <x14:formula1>
            <xm:f>CLT!$W$9:$W$14</xm:f>
          </x14:formula1>
          <xm:sqref>H19</xm:sqref>
        </x14:dataValidation>
        <x14:dataValidation type="list" allowBlank="1" showInputMessage="1" showErrorMessage="1" xr:uid="{0D6AB935-CBE0-4FD8-BA89-5BADFFBD3BFE}">
          <x14:formula1>
            <xm:f>CLT!$F$11:$F$13</xm:f>
          </x14:formula1>
          <xm:sqref>H30</xm:sqref>
        </x14:dataValidation>
        <x14:dataValidation type="list" allowBlank="1" showInputMessage="1" showErrorMessage="1" xr:uid="{45C7ADDF-73F0-4E6C-A6D2-1BDD08A780BA}">
          <x14:formula1>
            <xm:f>CONCRETE!$C$26:$C$35</xm:f>
          </x14:formula1>
          <xm:sqref>H51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FF0F4-2353-40CB-816F-5DEFC7ECECBD}">
  <sheetPr codeName="Foglio2">
    <tabColor rgb="FF92D050"/>
  </sheetPr>
  <dimension ref="C2:AK139"/>
  <sheetViews>
    <sheetView showGridLines="0" showRowColHeaders="0" topLeftCell="C62" zoomScaleNormal="100" workbookViewId="0">
      <selection activeCell="I70" sqref="I70"/>
    </sheetView>
  </sheetViews>
  <sheetFormatPr defaultColWidth="0" defaultRowHeight="15" customHeight="1" zeroHeight="1"/>
  <cols>
    <col min="1" max="2" width="9" hidden="1" customWidth="1"/>
    <col min="3" max="3" width="9" customWidth="1"/>
    <col min="4" max="4" width="32.5" bestFit="1" customWidth="1"/>
    <col min="5" max="5" width="10.625" style="2" customWidth="1"/>
    <col min="6" max="6" width="3.5" customWidth="1"/>
    <col min="7" max="7" width="48.625" customWidth="1"/>
    <col min="8" max="8" width="20.625" style="2" customWidth="1"/>
    <col min="9" max="9" width="10.625" style="2" customWidth="1"/>
    <col min="10" max="10" width="16.75" style="2" customWidth="1"/>
    <col min="11" max="11" width="29.875" customWidth="1"/>
    <col min="12" max="12" width="15.625" customWidth="1"/>
    <col min="13" max="16384" width="9" hidden="1"/>
  </cols>
  <sheetData>
    <row r="2" spans="4:16" ht="15" hidden="1" customHeight="1">
      <c r="D2" s="247" t="s">
        <v>54</v>
      </c>
      <c r="E2" s="46"/>
      <c r="F2" s="45"/>
      <c r="G2" s="45" t="s">
        <v>75</v>
      </c>
      <c r="H2" s="46" t="str">
        <f>GEOMETRY!H19</f>
        <v>Short/Instantaneous</v>
      </c>
      <c r="I2" s="46"/>
      <c r="J2" s="46"/>
      <c r="K2" s="47"/>
      <c r="L2" s="44" t="str">
        <f>GEOMETRY!H14</f>
        <v>EC 1995-1-1:2014</v>
      </c>
      <c r="M2" s="44"/>
      <c r="N2" s="44"/>
      <c r="O2" s="44"/>
      <c r="P2" s="44"/>
    </row>
    <row r="3" spans="4:16" ht="15" hidden="1" customHeight="1">
      <c r="D3" s="248"/>
      <c r="E3" s="48"/>
      <c r="F3" s="44"/>
      <c r="G3" s="44"/>
      <c r="H3" s="48"/>
      <c r="I3" s="48"/>
      <c r="J3" s="48"/>
      <c r="K3" s="49"/>
    </row>
    <row r="4" spans="4:16" ht="15" hidden="1" customHeight="1">
      <c r="D4" s="248"/>
      <c r="E4" s="48" t="s">
        <v>149</v>
      </c>
      <c r="F4" s="44"/>
      <c r="G4" s="44" t="s">
        <v>153</v>
      </c>
      <c r="H4" s="48">
        <f>GEOMETRY!H21</f>
        <v>1000</v>
      </c>
      <c r="I4" s="48"/>
      <c r="J4" s="48" t="s">
        <v>35</v>
      </c>
      <c r="K4" s="49"/>
    </row>
    <row r="5" spans="4:16" ht="15" hidden="1" customHeight="1">
      <c r="D5" s="248"/>
      <c r="E5" s="48"/>
      <c r="F5" s="44"/>
      <c r="G5" s="44"/>
      <c r="H5" s="48"/>
      <c r="I5" s="48"/>
      <c r="J5" s="48"/>
      <c r="K5" s="49"/>
    </row>
    <row r="6" spans="4:16" ht="15" hidden="1" customHeight="1">
      <c r="D6" s="248"/>
      <c r="E6" s="48" t="s">
        <v>233</v>
      </c>
      <c r="F6" s="44"/>
      <c r="G6" s="44" t="s">
        <v>232</v>
      </c>
      <c r="H6" s="48">
        <f>GEOMETRY!H23</f>
        <v>0</v>
      </c>
      <c r="I6" s="48"/>
      <c r="J6" s="48" t="s">
        <v>250</v>
      </c>
      <c r="K6" s="49"/>
    </row>
    <row r="7" spans="4:16" ht="15" hidden="1" customHeight="1">
      <c r="D7" s="248"/>
      <c r="E7" s="48" t="s">
        <v>150</v>
      </c>
      <c r="F7" s="44"/>
      <c r="G7" s="44" t="s">
        <v>151</v>
      </c>
      <c r="H7" s="48">
        <f>GEOMETRY!H24</f>
        <v>0</v>
      </c>
      <c r="I7" s="48"/>
      <c r="J7" s="48" t="s">
        <v>250</v>
      </c>
      <c r="K7" s="49"/>
    </row>
    <row r="8" spans="4:16" ht="15" hidden="1" customHeight="1">
      <c r="D8" s="248"/>
      <c r="E8" s="48" t="s">
        <v>304</v>
      </c>
      <c r="F8" s="44"/>
      <c r="G8" s="44" t="s">
        <v>152</v>
      </c>
      <c r="H8" s="48">
        <f>GEOMETRY!H25</f>
        <v>0</v>
      </c>
      <c r="I8" s="48"/>
      <c r="J8" s="48" t="s">
        <v>250</v>
      </c>
      <c r="K8" s="49"/>
    </row>
    <row r="9" spans="4:16" ht="15" hidden="1" customHeight="1">
      <c r="D9" s="248"/>
      <c r="E9" s="48" t="s">
        <v>228</v>
      </c>
      <c r="F9" s="44"/>
      <c r="G9" s="44" t="s">
        <v>229</v>
      </c>
      <c r="H9" s="48">
        <f>GEOMETRY!H26</f>
        <v>11.9</v>
      </c>
      <c r="I9" s="48"/>
      <c r="J9" s="48" t="s">
        <v>251</v>
      </c>
      <c r="K9" s="49"/>
    </row>
    <row r="10" spans="4:16" ht="15" hidden="1" customHeight="1">
      <c r="D10" s="248"/>
      <c r="E10" s="48"/>
      <c r="F10" s="44"/>
      <c r="G10" s="44" t="str">
        <f>IF(H10="POS","Fibre inferiori tese", IF(H10="NEG","Fibre superiori tese","NO"))</f>
        <v>Fibre inferiori tese</v>
      </c>
      <c r="H10" s="48" t="str">
        <f>GEOMETRY!H27</f>
        <v>POS</v>
      </c>
      <c r="I10" s="48"/>
      <c r="J10" s="48"/>
      <c r="K10" s="49"/>
      <c r="L10" s="44"/>
      <c r="M10" s="44"/>
      <c r="N10" s="44"/>
      <c r="O10" s="44"/>
      <c r="P10" s="44"/>
    </row>
    <row r="11" spans="4:16" ht="15" hidden="1" customHeight="1">
      <c r="D11" s="248"/>
      <c r="E11" s="48"/>
      <c r="F11" s="44"/>
      <c r="G11" s="44"/>
      <c r="H11" s="48"/>
      <c r="I11" s="48"/>
      <c r="J11" s="48"/>
      <c r="K11" s="49"/>
      <c r="L11" s="44"/>
      <c r="M11" s="44"/>
      <c r="N11" s="44"/>
      <c r="O11" s="44"/>
      <c r="P11" s="44"/>
    </row>
    <row r="12" spans="4:16" ht="15" hidden="1" customHeight="1">
      <c r="D12" s="248"/>
      <c r="E12" s="48"/>
      <c r="F12" s="44"/>
      <c r="G12" s="44"/>
      <c r="H12" s="48"/>
      <c r="I12" s="48"/>
      <c r="J12" s="48"/>
      <c r="K12" s="49"/>
      <c r="L12" s="44"/>
      <c r="M12" s="44"/>
      <c r="N12" s="44"/>
      <c r="O12" s="44"/>
      <c r="P12" s="44"/>
    </row>
    <row r="13" spans="4:16" ht="15" hidden="1" customHeight="1">
      <c r="D13" s="248"/>
      <c r="E13" s="48"/>
      <c r="F13" s="44"/>
      <c r="G13" s="44"/>
      <c r="H13" s="48"/>
      <c r="I13" s="48"/>
      <c r="J13" s="48"/>
      <c r="K13" s="49"/>
      <c r="L13" s="44"/>
      <c r="M13" s="44"/>
      <c r="N13" s="44"/>
      <c r="O13" s="44"/>
      <c r="P13" s="44"/>
    </row>
    <row r="14" spans="4:16" ht="15" hidden="1" customHeight="1">
      <c r="D14" s="249"/>
      <c r="E14" s="52" t="s">
        <v>244</v>
      </c>
      <c r="F14" s="51"/>
      <c r="G14" s="51" t="s">
        <v>245</v>
      </c>
      <c r="H14" s="52">
        <f>GEOMETRY!H28</f>
        <v>0</v>
      </c>
      <c r="I14" s="52"/>
      <c r="J14" s="52" t="s">
        <v>251</v>
      </c>
      <c r="K14" s="53"/>
      <c r="L14" s="44"/>
      <c r="M14" s="44"/>
      <c r="N14" s="44"/>
      <c r="O14" s="44"/>
      <c r="P14" s="44"/>
    </row>
    <row r="15" spans="4:16" ht="15" hidden="1" customHeight="1">
      <c r="D15" s="44"/>
      <c r="E15" s="48"/>
      <c r="F15" s="44"/>
      <c r="G15" s="44"/>
      <c r="H15" s="48"/>
      <c r="I15" s="48"/>
      <c r="J15" s="48"/>
      <c r="K15" s="44"/>
      <c r="L15" s="44"/>
      <c r="M15" s="44"/>
      <c r="N15" s="44"/>
      <c r="O15" s="44"/>
      <c r="P15" s="44"/>
    </row>
    <row r="16" spans="4:16" ht="15" hidden="1" customHeight="1">
      <c r="D16" s="247" t="s">
        <v>0</v>
      </c>
      <c r="E16" s="46"/>
      <c r="F16" s="45"/>
      <c r="G16" s="45" t="s">
        <v>82</v>
      </c>
      <c r="H16" s="46" t="str">
        <f>GEOMETRY!H30</f>
        <v>GL24h</v>
      </c>
      <c r="I16" s="46"/>
      <c r="J16" s="46"/>
      <c r="K16" s="47"/>
      <c r="L16" s="44"/>
      <c r="M16" s="44"/>
      <c r="N16" s="44"/>
      <c r="O16" s="44"/>
      <c r="P16" s="44"/>
    </row>
    <row r="17" spans="4:17" ht="15" hidden="1" customHeight="1">
      <c r="D17" s="248"/>
      <c r="E17" s="48"/>
      <c r="F17" s="44"/>
      <c r="G17" s="44" t="s">
        <v>17</v>
      </c>
      <c r="H17" s="48" t="str">
        <f>GEOMETRY!H31</f>
        <v>L_7</v>
      </c>
      <c r="I17" s="48"/>
      <c r="J17" s="48"/>
      <c r="K17" s="49"/>
      <c r="L17" s="44"/>
      <c r="M17" s="44"/>
      <c r="N17" s="44"/>
      <c r="O17" s="44"/>
      <c r="P17" s="44"/>
    </row>
    <row r="18" spans="4:17" ht="15" hidden="1" customHeight="1">
      <c r="D18" s="248"/>
      <c r="E18" s="48"/>
      <c r="F18" s="44"/>
      <c r="G18" s="44" t="s">
        <v>16</v>
      </c>
      <c r="H18" s="250" t="str">
        <f>GEOMETRY!H32</f>
        <v>260mm - 7s - 40 40 30 40 30 40 40</v>
      </c>
      <c r="I18" s="250"/>
      <c r="J18" s="250"/>
      <c r="K18" s="251"/>
      <c r="L18" s="44"/>
      <c r="M18" s="44"/>
      <c r="N18" s="44"/>
      <c r="O18" s="44"/>
      <c r="P18" s="44"/>
    </row>
    <row r="19" spans="4:17" ht="15" hidden="1" customHeight="1">
      <c r="D19" s="248"/>
      <c r="E19" s="48"/>
      <c r="F19" s="44"/>
      <c r="G19" s="44" t="s">
        <v>57</v>
      </c>
      <c r="H19" s="48">
        <f>GEOMETRY!H33</f>
        <v>260</v>
      </c>
      <c r="I19" s="48"/>
      <c r="J19" s="48" t="s">
        <v>35</v>
      </c>
      <c r="K19" s="49"/>
      <c r="L19" s="44"/>
      <c r="M19" s="44"/>
      <c r="N19" s="44"/>
      <c r="O19" s="44"/>
      <c r="P19" s="44"/>
    </row>
    <row r="20" spans="4:17" ht="15" hidden="1" customHeight="1">
      <c r="D20" s="249"/>
      <c r="E20" s="52"/>
      <c r="F20" s="51"/>
      <c r="G20" s="51" t="s">
        <v>104</v>
      </c>
      <c r="H20" s="52" t="str">
        <f>GEOMETRY!H34</f>
        <v>L</v>
      </c>
      <c r="I20" s="52"/>
      <c r="J20" s="52"/>
      <c r="K20" s="53"/>
      <c r="L20" s="44"/>
      <c r="M20" s="44"/>
      <c r="N20" s="44"/>
      <c r="O20" s="44"/>
      <c r="P20" s="44"/>
    </row>
    <row r="21" spans="4:17" ht="15" hidden="1" customHeight="1">
      <c r="D21" s="44"/>
      <c r="E21" s="48"/>
      <c r="F21" s="44"/>
      <c r="G21" s="44"/>
      <c r="H21" s="48"/>
      <c r="I21" s="48"/>
      <c r="J21" s="48"/>
      <c r="K21" s="44"/>
      <c r="L21" s="44"/>
      <c r="M21" s="44"/>
      <c r="N21" s="44"/>
      <c r="O21" s="44"/>
      <c r="P21" s="44"/>
    </row>
    <row r="22" spans="4:17" ht="15" hidden="1" customHeight="1">
      <c r="D22" s="247" t="s">
        <v>115</v>
      </c>
      <c r="E22" s="46"/>
      <c r="F22" s="45"/>
      <c r="G22" s="45" t="s">
        <v>50</v>
      </c>
      <c r="H22" s="46" t="str">
        <f>GEOMETRY!H36</f>
        <v>VGS_11</v>
      </c>
      <c r="I22" s="46"/>
      <c r="J22" s="46" t="s">
        <v>35</v>
      </c>
      <c r="K22" s="47"/>
      <c r="L22" s="44"/>
      <c r="M22" s="44"/>
      <c r="N22" s="44"/>
      <c r="O22" s="44"/>
      <c r="P22" s="44"/>
    </row>
    <row r="23" spans="4:17" ht="15" hidden="1" customHeight="1">
      <c r="D23" s="248"/>
      <c r="E23" s="48"/>
      <c r="F23" s="44"/>
      <c r="G23" s="44"/>
      <c r="H23" s="48" t="str">
        <f>GEOMETRY!H37</f>
        <v>VGS_11_450</v>
      </c>
      <c r="I23" s="48"/>
      <c r="J23" s="48" t="s">
        <v>35</v>
      </c>
      <c r="K23" s="49"/>
      <c r="L23" s="44"/>
      <c r="M23" s="44"/>
      <c r="N23" s="44"/>
      <c r="O23" s="44"/>
      <c r="P23" s="44"/>
    </row>
    <row r="24" spans="4:17" ht="15" hidden="1" customHeight="1">
      <c r="D24" s="248"/>
      <c r="E24" s="48" t="s">
        <v>21</v>
      </c>
      <c r="F24" s="44"/>
      <c r="G24" s="44" t="s">
        <v>1</v>
      </c>
      <c r="H24" s="48">
        <f>GEOMETRY!H38</f>
        <v>11</v>
      </c>
      <c r="I24" s="48"/>
      <c r="J24" s="48" t="s">
        <v>35</v>
      </c>
      <c r="K24" s="49"/>
      <c r="L24" s="44"/>
      <c r="M24" s="44"/>
      <c r="N24" s="44"/>
      <c r="O24" s="44"/>
      <c r="P24" s="44"/>
    </row>
    <row r="25" spans="4:17" ht="15" hidden="1" customHeight="1">
      <c r="D25" s="248"/>
      <c r="E25" s="48" t="s">
        <v>22</v>
      </c>
      <c r="F25" s="44"/>
      <c r="G25" s="44" t="s">
        <v>2</v>
      </c>
      <c r="H25" s="48">
        <f>GEOMETRY!H39</f>
        <v>450</v>
      </c>
      <c r="I25" s="48"/>
      <c r="J25" s="48"/>
      <c r="K25" s="49"/>
      <c r="L25" s="44"/>
      <c r="M25" s="44"/>
      <c r="N25" s="44"/>
      <c r="O25" s="44"/>
      <c r="P25" s="44"/>
    </row>
    <row r="26" spans="4:17" ht="15" hidden="1" customHeight="1">
      <c r="D26" s="248"/>
      <c r="E26" s="48" t="s">
        <v>154</v>
      </c>
      <c r="F26" s="44"/>
      <c r="G26" s="44" t="s">
        <v>96</v>
      </c>
      <c r="H26" s="48">
        <f>GEOMETRY!H45</f>
        <v>100</v>
      </c>
      <c r="I26" s="48"/>
      <c r="J26" s="48" t="s">
        <v>35</v>
      </c>
      <c r="K26" s="49"/>
      <c r="L26" s="44"/>
      <c r="M26" s="44"/>
      <c r="N26" s="44"/>
      <c r="O26" s="44"/>
      <c r="P26" s="44"/>
    </row>
    <row r="27" spans="4:17" ht="15" hidden="1" customHeight="1">
      <c r="D27" s="248"/>
      <c r="E27" s="48" t="s">
        <v>155</v>
      </c>
      <c r="F27" s="44"/>
      <c r="G27" s="44" t="s">
        <v>53</v>
      </c>
      <c r="H27" s="48">
        <f>GEOMETRY!H46</f>
        <v>154</v>
      </c>
      <c r="I27" s="48"/>
      <c r="J27" s="48" t="s">
        <v>35</v>
      </c>
      <c r="K27" s="49"/>
      <c r="L27" s="44"/>
      <c r="M27" s="44"/>
      <c r="N27" s="44"/>
      <c r="O27" s="44"/>
      <c r="P27" s="44"/>
    </row>
    <row r="28" spans="4:17" ht="15" hidden="1" customHeight="1">
      <c r="D28" s="248"/>
      <c r="E28" s="48" t="s">
        <v>221</v>
      </c>
      <c r="F28" s="44"/>
      <c r="G28" s="44" t="s">
        <v>61</v>
      </c>
      <c r="H28" s="48">
        <f>GEOMETRY!H48</f>
        <v>45</v>
      </c>
      <c r="I28" s="48"/>
      <c r="J28" s="48" t="s">
        <v>35</v>
      </c>
      <c r="K28" s="49"/>
      <c r="L28" s="44"/>
      <c r="M28" s="44"/>
      <c r="N28" s="44"/>
      <c r="O28" s="44"/>
      <c r="P28" s="44"/>
    </row>
    <row r="29" spans="4:17" ht="15" hidden="1" customHeight="1">
      <c r="D29" s="248"/>
      <c r="E29" s="48" t="s">
        <v>156</v>
      </c>
      <c r="F29" s="44"/>
      <c r="G29" s="44" t="s">
        <v>61</v>
      </c>
      <c r="H29" s="48">
        <f>GEOMETRY!H49</f>
        <v>66</v>
      </c>
      <c r="I29" s="48"/>
      <c r="J29" s="48" t="s">
        <v>35</v>
      </c>
      <c r="K29" s="49" t="str">
        <f>IF(H29&lt;(5*H24),"a4&lt;a4min","a4&gt;a4min")</f>
        <v>a4&gt;a4min</v>
      </c>
      <c r="L29" s="44" t="s">
        <v>222</v>
      </c>
      <c r="M29" s="44"/>
      <c r="N29" s="44"/>
      <c r="O29" s="44"/>
      <c r="P29" s="44"/>
    </row>
    <row r="30" spans="4:17" ht="15" hidden="1" customHeight="1">
      <c r="D30" s="248"/>
      <c r="E30" s="48" t="s">
        <v>309</v>
      </c>
      <c r="F30" s="44"/>
      <c r="G30" s="44" t="s">
        <v>121</v>
      </c>
      <c r="H30" s="48">
        <f>IF(GEOMETRY!H16="N",GEOMETRY!H40,IF(GEOMETRY!H16="S",(1000/MAX(GEOMETRY!H43*0.9,GEOMETRY!H43^0.9))))</f>
        <v>200</v>
      </c>
      <c r="I30" s="48"/>
      <c r="J30" s="48" t="s">
        <v>35</v>
      </c>
      <c r="K30" s="49"/>
      <c r="L30" s="44"/>
      <c r="M30" s="44"/>
      <c r="N30" s="44"/>
      <c r="O30" s="44"/>
      <c r="P30" s="44"/>
    </row>
    <row r="31" spans="4:17" ht="15" hidden="1" customHeight="1">
      <c r="D31" s="248"/>
      <c r="E31" s="48" t="s">
        <v>310</v>
      </c>
      <c r="F31" s="44"/>
      <c r="G31" s="44" t="s">
        <v>122</v>
      </c>
      <c r="H31" s="48">
        <f>IF(GEOMETRY!H16="N",GEOMETRY!H41,IF(GEOMETRY!H16="S",(1000/MAX(GEOMETRY!H44*0.9,GEOMETRY!H44^0.9))))</f>
        <v>200</v>
      </c>
      <c r="I31" s="48"/>
      <c r="J31" s="48" t="s">
        <v>35</v>
      </c>
      <c r="K31" s="49"/>
      <c r="L31" s="44"/>
      <c r="M31" s="44"/>
      <c r="N31" s="44"/>
      <c r="O31" s="44"/>
      <c r="P31" s="44"/>
    </row>
    <row r="32" spans="4:17" ht="15" hidden="1" customHeight="1">
      <c r="D32" s="248"/>
      <c r="E32" s="48" t="s">
        <v>234</v>
      </c>
      <c r="F32" s="44"/>
      <c r="G32" s="44" t="s">
        <v>273</v>
      </c>
      <c r="H32" s="48">
        <f>GEOMETRY!H43</f>
        <v>5</v>
      </c>
      <c r="I32" s="48"/>
      <c r="J32" s="48" t="s">
        <v>275</v>
      </c>
      <c r="K32" s="49"/>
      <c r="L32" s="44"/>
      <c r="M32" s="44"/>
      <c r="N32" s="44"/>
      <c r="O32" s="44"/>
      <c r="P32" s="44"/>
      <c r="Q32" s="29"/>
    </row>
    <row r="33" spans="4:25" ht="15" hidden="1" customHeight="1">
      <c r="D33" s="249"/>
      <c r="E33" s="52" t="s">
        <v>235</v>
      </c>
      <c r="F33" s="51"/>
      <c r="G33" s="51" t="s">
        <v>274</v>
      </c>
      <c r="H33" s="52">
        <f>GEOMETRY!H44</f>
        <v>5</v>
      </c>
      <c r="I33" s="52"/>
      <c r="J33" s="52" t="s">
        <v>275</v>
      </c>
      <c r="K33" s="53"/>
      <c r="L33" s="44"/>
      <c r="M33" s="44"/>
      <c r="N33" s="44"/>
      <c r="O33" s="44"/>
      <c r="P33" s="44"/>
      <c r="Q33" s="31" t="s">
        <v>208</v>
      </c>
      <c r="R33" s="10"/>
      <c r="S33" s="10"/>
      <c r="T33" s="10"/>
      <c r="U33" s="10"/>
      <c r="V33" s="10"/>
      <c r="W33" s="10"/>
      <c r="X33" s="10"/>
      <c r="Y33" s="11"/>
    </row>
    <row r="34" spans="4:25" ht="15" hidden="1" customHeight="1">
      <c r="D34" s="44"/>
      <c r="E34" s="48"/>
      <c r="F34" s="44"/>
      <c r="G34" s="44"/>
      <c r="H34" s="48"/>
      <c r="I34" s="48"/>
      <c r="J34" s="48"/>
      <c r="K34" s="44"/>
      <c r="L34" s="44"/>
      <c r="M34" s="44"/>
      <c r="N34" s="44"/>
      <c r="O34" s="44"/>
      <c r="P34" s="44"/>
      <c r="Q34" s="32"/>
      <c r="S34" t="s">
        <v>207</v>
      </c>
      <c r="T34" t="s">
        <v>205</v>
      </c>
      <c r="U34" t="s">
        <v>206</v>
      </c>
      <c r="Y34" s="12"/>
    </row>
    <row r="35" spans="4:25" ht="15" hidden="1" customHeight="1">
      <c r="D35" s="44"/>
      <c r="E35" s="48"/>
      <c r="F35" s="44"/>
      <c r="G35" s="44"/>
      <c r="H35" s="48"/>
      <c r="I35" s="48"/>
      <c r="J35" s="48"/>
      <c r="K35" s="44"/>
      <c r="L35" s="44"/>
      <c r="M35" s="44"/>
      <c r="N35" s="44"/>
      <c r="O35" s="44"/>
      <c r="P35" s="44"/>
      <c r="Q35" s="32" t="s">
        <v>200</v>
      </c>
      <c r="R35" t="s">
        <v>203</v>
      </c>
      <c r="S35" s="9">
        <f>T35*SCREWS!AE14</f>
        <v>38</v>
      </c>
      <c r="T35" s="9">
        <f>SCREWS!I31</f>
        <v>30.4</v>
      </c>
      <c r="U35" s="9">
        <f>S35</f>
        <v>38</v>
      </c>
      <c r="Y35" s="12"/>
    </row>
    <row r="36" spans="4:25" ht="15" hidden="1" customHeight="1">
      <c r="D36" s="247" t="s">
        <v>23</v>
      </c>
      <c r="E36" s="46"/>
      <c r="F36" s="45"/>
      <c r="G36" s="45" t="s">
        <v>63</v>
      </c>
      <c r="H36" s="46" t="str">
        <f>GEOMETRY!H51</f>
        <v>C25/30</v>
      </c>
      <c r="I36" s="46"/>
      <c r="J36" s="46"/>
      <c r="K36" s="47"/>
      <c r="L36" s="44"/>
      <c r="M36" s="44"/>
      <c r="N36" s="44"/>
      <c r="O36" s="44"/>
      <c r="P36" s="44"/>
      <c r="Q36" s="32"/>
      <c r="R36" t="s">
        <v>202</v>
      </c>
      <c r="S36" s="9">
        <f>T36*SCREWS!AE17/SCREWS!AE18</f>
        <v>27.564437729939534</v>
      </c>
      <c r="T36" s="9">
        <f>SCREWS!I32</f>
        <v>15.619848046965735</v>
      </c>
      <c r="U36" s="9">
        <f>S36*SCREWS!AZ18</f>
        <v>41.346656594909305</v>
      </c>
      <c r="Y36" s="12"/>
    </row>
    <row r="37" spans="4:25" ht="15" hidden="1" customHeight="1">
      <c r="D37" s="248"/>
      <c r="E37" s="48" t="s">
        <v>159</v>
      </c>
      <c r="F37" s="44"/>
      <c r="G37" s="44" t="s">
        <v>24</v>
      </c>
      <c r="H37" s="48">
        <f>GEOMETRY!H52</f>
        <v>6</v>
      </c>
      <c r="I37" s="48"/>
      <c r="J37" s="48" t="s">
        <v>35</v>
      </c>
      <c r="K37" s="49"/>
      <c r="L37" s="44"/>
      <c r="M37" s="44"/>
      <c r="N37" s="44"/>
      <c r="O37" s="44"/>
      <c r="P37" s="44"/>
      <c r="Q37" s="32"/>
      <c r="R37" t="s">
        <v>204</v>
      </c>
      <c r="S37" s="9">
        <f>T37*SCREWS!AE17/SCREWS!AE19</f>
        <v>69.115038378975441</v>
      </c>
      <c r="T37" s="9">
        <f>SCREWS!D32</f>
        <v>46.076692252650297</v>
      </c>
      <c r="U37" s="9">
        <f>S37</f>
        <v>69.115038378975441</v>
      </c>
      <c r="Y37" s="12"/>
    </row>
    <row r="38" spans="4:25" ht="15" hidden="1" customHeight="1">
      <c r="D38" s="248"/>
      <c r="E38" s="48" t="s">
        <v>160</v>
      </c>
      <c r="F38" s="44"/>
      <c r="G38" s="44" t="s">
        <v>25</v>
      </c>
      <c r="H38" s="48">
        <f>GEOMETRY!H53</f>
        <v>8</v>
      </c>
      <c r="I38" s="48"/>
      <c r="J38" s="48" t="s">
        <v>35</v>
      </c>
      <c r="K38" s="49"/>
      <c r="L38" s="44"/>
      <c r="M38" s="44"/>
      <c r="N38" s="44"/>
      <c r="O38" s="44"/>
      <c r="P38" s="44"/>
      <c r="Q38" s="32"/>
      <c r="Y38" s="12"/>
    </row>
    <row r="39" spans="4:25" ht="15" hidden="1" customHeight="1">
      <c r="D39" s="248"/>
      <c r="E39" s="48" t="s">
        <v>161</v>
      </c>
      <c r="F39" s="44"/>
      <c r="G39" s="44" t="s">
        <v>30</v>
      </c>
      <c r="H39" s="48">
        <f>GEOMETRY!H54</f>
        <v>10</v>
      </c>
      <c r="I39" s="48"/>
      <c r="J39" s="48" t="s">
        <v>35</v>
      </c>
      <c r="K39" s="49"/>
      <c r="L39" s="44"/>
      <c r="M39" s="44"/>
      <c r="N39" s="44"/>
      <c r="O39" s="44"/>
      <c r="P39" s="44"/>
      <c r="Q39" s="32" t="s">
        <v>201</v>
      </c>
      <c r="R39" t="s">
        <v>209</v>
      </c>
      <c r="S39" s="9">
        <f>T39*SCREWS!AE14</f>
        <v>17.10597199879642</v>
      </c>
      <c r="T39" s="9">
        <f>SCREWS!I43</f>
        <v>13.684777599037137</v>
      </c>
      <c r="U39" s="9">
        <f>S39</f>
        <v>17.10597199879642</v>
      </c>
      <c r="Y39" s="12"/>
    </row>
    <row r="40" spans="4:25" ht="15" hidden="1" customHeight="1">
      <c r="D40" s="248"/>
      <c r="E40" s="48"/>
      <c r="F40" s="44"/>
      <c r="G40" s="44" t="s">
        <v>48</v>
      </c>
      <c r="H40" s="48" t="str">
        <f>GEOMETRY!H55</f>
        <v>XC1</v>
      </c>
      <c r="I40" s="48"/>
      <c r="J40" s="48"/>
      <c r="K40" s="49"/>
      <c r="L40" s="44"/>
      <c r="M40" s="44"/>
      <c r="N40" s="44"/>
      <c r="O40" s="44"/>
      <c r="P40" s="44"/>
      <c r="Q40" s="32"/>
      <c r="R40" t="s">
        <v>210</v>
      </c>
      <c r="S40" s="9">
        <f>T40*SCREWS!AE9/SCREWS!AE10</f>
        <v>5.6831136095656216</v>
      </c>
      <c r="T40" s="4">
        <f>SCREWS!D48*H28/H29</f>
        <v>4.209713784863423</v>
      </c>
      <c r="U40" s="9">
        <f>S40*SCREWS!AZ18</f>
        <v>8.5246704143484315</v>
      </c>
      <c r="Y40" s="12"/>
    </row>
    <row r="41" spans="4:25" ht="15" hidden="1" customHeight="1">
      <c r="D41" s="248"/>
      <c r="E41" s="48" t="s">
        <v>162</v>
      </c>
      <c r="F41" s="44"/>
      <c r="G41" s="44" t="s">
        <v>27</v>
      </c>
      <c r="H41" s="48">
        <f>GEOMETRY!H56</f>
        <v>20</v>
      </c>
      <c r="I41" s="48"/>
      <c r="J41" s="48" t="s">
        <v>35</v>
      </c>
      <c r="K41" s="49"/>
      <c r="L41" s="44"/>
      <c r="M41" s="44"/>
      <c r="N41" s="44"/>
      <c r="O41" s="44"/>
      <c r="P41" s="44"/>
      <c r="Q41" s="32"/>
      <c r="R41" t="s">
        <v>219</v>
      </c>
      <c r="T41" s="2" t="str">
        <f>SCREWS!$F$48</f>
        <v>e</v>
      </c>
      <c r="X41" t="str">
        <f>IF(T41="e","OK Annex E8","NO")</f>
        <v>OK Annex E8</v>
      </c>
      <c r="Y41" s="12"/>
    </row>
    <row r="42" spans="4:25" ht="15" hidden="1" customHeight="1">
      <c r="D42" s="248"/>
      <c r="E42" s="48" t="s">
        <v>163</v>
      </c>
      <c r="F42" s="44"/>
      <c r="G42" s="44" t="s">
        <v>26</v>
      </c>
      <c r="H42" s="48">
        <f>GEOMETRY!H57</f>
        <v>20</v>
      </c>
      <c r="I42" s="48"/>
      <c r="J42" s="48" t="s">
        <v>35</v>
      </c>
      <c r="K42" s="49"/>
      <c r="L42" s="44"/>
      <c r="M42" s="44"/>
      <c r="N42" s="44"/>
      <c r="O42" s="44"/>
      <c r="P42" s="44"/>
      <c r="Q42" s="32"/>
      <c r="R42" t="s">
        <v>236</v>
      </c>
      <c r="T42" s="3">
        <f>2.3*(SCREWS!$D$40*10^3/(SCREWS!$D$41*SCREWS!$E$23))^0.5</f>
        <v>60.502178096441845</v>
      </c>
      <c r="U42" s="2" t="str">
        <f>IF(T42&lt;V42,"&lt;","&gt;")</f>
        <v>&lt;</v>
      </c>
      <c r="V42" s="2">
        <f>H59</f>
        <v>260</v>
      </c>
      <c r="W42" t="s">
        <v>35</v>
      </c>
      <c r="X42" t="str">
        <f>IF(T42&lt;V42,"OK Annex E8","NO")</f>
        <v>OK Annex E8</v>
      </c>
      <c r="Y42" s="12"/>
    </row>
    <row r="43" spans="4:25" ht="15" hidden="1" customHeight="1">
      <c r="D43" s="248"/>
      <c r="E43" s="48" t="s">
        <v>128</v>
      </c>
      <c r="F43" s="44"/>
      <c r="G43" s="44" t="s">
        <v>49</v>
      </c>
      <c r="H43" s="48">
        <f>GEOMETRY!H58</f>
        <v>24</v>
      </c>
      <c r="I43" s="48"/>
      <c r="J43" s="48" t="s">
        <v>35</v>
      </c>
      <c r="K43" s="49"/>
      <c r="L43" s="44"/>
      <c r="M43" s="44"/>
      <c r="N43" s="44"/>
      <c r="O43" s="44"/>
      <c r="P43" s="44"/>
      <c r="Q43" s="32"/>
      <c r="Y43" s="12"/>
    </row>
    <row r="44" spans="4:25" ht="15" hidden="1" customHeight="1">
      <c r="D44" s="249"/>
      <c r="E44" s="52" t="s">
        <v>164</v>
      </c>
      <c r="F44" s="51"/>
      <c r="G44" s="51" t="s">
        <v>51</v>
      </c>
      <c r="H44" s="52">
        <f>GEOMETRY!H59</f>
        <v>202</v>
      </c>
      <c r="I44" s="52"/>
      <c r="J44" s="52" t="s">
        <v>35</v>
      </c>
      <c r="K44" s="53"/>
      <c r="Q44" s="33" t="s">
        <v>332</v>
      </c>
      <c r="R44" s="13"/>
      <c r="S44" s="13"/>
      <c r="T44" s="13"/>
      <c r="U44" s="13"/>
      <c r="V44" s="13"/>
      <c r="W44" s="13"/>
      <c r="X44" s="13"/>
      <c r="Y44" s="14"/>
    </row>
    <row r="45" spans="4:25" ht="15" hidden="1" customHeight="1">
      <c r="D45" s="44"/>
      <c r="E45" s="48"/>
      <c r="F45" s="44"/>
      <c r="G45" s="44"/>
      <c r="H45" s="48"/>
      <c r="I45" s="48"/>
      <c r="J45" s="48"/>
      <c r="K45" s="44"/>
    </row>
    <row r="46" spans="4:25" ht="15" hidden="1" customHeight="1">
      <c r="D46" s="247" t="s">
        <v>106</v>
      </c>
      <c r="E46" s="46" t="s">
        <v>165</v>
      </c>
      <c r="F46" s="45"/>
      <c r="G46" s="45" t="s">
        <v>107</v>
      </c>
      <c r="H46" s="46">
        <f>GEOMETRY!H61</f>
        <v>19.200000000000003</v>
      </c>
      <c r="I46" s="46"/>
      <c r="J46" s="46" t="s">
        <v>100</v>
      </c>
      <c r="K46" s="47"/>
    </row>
    <row r="47" spans="4:25" ht="15" hidden="1" customHeight="1">
      <c r="D47" s="248"/>
      <c r="E47" s="48" t="s">
        <v>167</v>
      </c>
      <c r="F47" s="44"/>
      <c r="G47" s="44" t="s">
        <v>108</v>
      </c>
      <c r="H47" s="54">
        <f>GEOMETRY!H62</f>
        <v>14.166666666666666</v>
      </c>
      <c r="I47" s="48"/>
      <c r="J47" s="48" t="s">
        <v>100</v>
      </c>
      <c r="K47" s="49"/>
    </row>
    <row r="48" spans="4:25" ht="15" hidden="1" customHeight="1">
      <c r="D48" s="248"/>
      <c r="E48" s="48" t="s">
        <v>166</v>
      </c>
      <c r="F48" s="44"/>
      <c r="G48" s="44" t="s">
        <v>109</v>
      </c>
      <c r="H48" s="54">
        <f>GEOMETRY!H63</f>
        <v>14.166666666666666</v>
      </c>
      <c r="I48" s="48"/>
      <c r="J48" s="48" t="s">
        <v>100</v>
      </c>
      <c r="K48" s="49"/>
    </row>
    <row r="49" spans="4:37" ht="15" hidden="1" customHeight="1">
      <c r="D49" s="248"/>
      <c r="E49" s="48" t="s">
        <v>168</v>
      </c>
      <c r="F49" s="44"/>
      <c r="G49" s="44" t="s">
        <v>101</v>
      </c>
      <c r="H49" s="48">
        <f>GEOMETRY!H64</f>
        <v>12.5</v>
      </c>
      <c r="I49" s="48"/>
      <c r="J49" s="48" t="s">
        <v>100</v>
      </c>
      <c r="K49" s="49"/>
    </row>
    <row r="50" spans="4:37" ht="15" hidden="1" customHeight="1">
      <c r="D50" s="249"/>
      <c r="E50" s="52"/>
      <c r="F50" s="51"/>
      <c r="G50" s="51"/>
      <c r="H50" s="55"/>
      <c r="I50" s="55"/>
      <c r="J50" s="52"/>
      <c r="K50" s="53"/>
    </row>
    <row r="51" spans="4:37" ht="15" hidden="1" customHeight="1">
      <c r="D51" s="44"/>
      <c r="E51" s="48"/>
      <c r="F51" s="44"/>
      <c r="G51" s="44"/>
      <c r="H51" s="48"/>
      <c r="I51" s="48"/>
      <c r="J51" s="48"/>
      <c r="K51" s="44"/>
    </row>
    <row r="52" spans="4:37" ht="15" hidden="1" customHeight="1">
      <c r="D52" s="247" t="s">
        <v>52</v>
      </c>
      <c r="E52" s="46"/>
      <c r="F52" s="45"/>
      <c r="G52" s="45" t="s">
        <v>49</v>
      </c>
      <c r="H52" s="46">
        <f>GEOMETRY!H66</f>
        <v>24</v>
      </c>
      <c r="I52" s="46"/>
      <c r="J52" s="46" t="s">
        <v>35</v>
      </c>
      <c r="K52" s="47"/>
    </row>
    <row r="53" spans="4:37" ht="15" hidden="1" customHeight="1">
      <c r="D53" s="248"/>
      <c r="E53" s="48"/>
      <c r="F53" s="44"/>
      <c r="G53" s="44" t="s">
        <v>84</v>
      </c>
      <c r="H53" s="48">
        <f>GEOMETRY!H67</f>
        <v>200</v>
      </c>
      <c r="I53" s="48"/>
      <c r="J53" s="48" t="s">
        <v>35</v>
      </c>
      <c r="K53" s="49"/>
    </row>
    <row r="54" spans="4:37" ht="15" hidden="1" customHeight="1">
      <c r="D54" s="248"/>
      <c r="E54" s="48"/>
      <c r="F54" s="44"/>
      <c r="G54" s="44" t="s">
        <v>56</v>
      </c>
      <c r="H54" s="48">
        <f>GEOMETRY!H68</f>
        <v>160</v>
      </c>
      <c r="I54" s="48"/>
      <c r="J54" s="48" t="s">
        <v>35</v>
      </c>
      <c r="K54" s="49"/>
    </row>
    <row r="55" spans="4:37" ht="15" hidden="1" customHeight="1">
      <c r="D55" s="248"/>
      <c r="E55" s="48"/>
      <c r="F55" s="44"/>
      <c r="G55" s="44" t="s">
        <v>60</v>
      </c>
      <c r="H55" s="48">
        <f>GEOMETRY!H70</f>
        <v>45</v>
      </c>
      <c r="I55" s="48"/>
      <c r="J55" s="48" t="s">
        <v>35</v>
      </c>
      <c r="K55" s="49"/>
    </row>
    <row r="56" spans="4:37" ht="15" hidden="1" customHeight="1">
      <c r="D56" s="248"/>
      <c r="E56" s="48" t="s">
        <v>248</v>
      </c>
      <c r="F56" s="44"/>
      <c r="G56" s="44" t="s">
        <v>247</v>
      </c>
      <c r="H56" s="48">
        <f>GEOMETRY!H72</f>
        <v>215</v>
      </c>
      <c r="I56" s="48"/>
      <c r="J56" s="48" t="s">
        <v>35</v>
      </c>
      <c r="K56" s="49"/>
    </row>
    <row r="57" spans="4:37" ht="15" hidden="1" customHeight="1">
      <c r="D57" s="248"/>
      <c r="E57" s="48" t="s">
        <v>249</v>
      </c>
      <c r="F57" s="44"/>
      <c r="G57" s="44" t="s">
        <v>87</v>
      </c>
      <c r="H57" s="48">
        <f>GEOMETRY!H73</f>
        <v>180</v>
      </c>
      <c r="I57" s="48"/>
      <c r="J57" s="48" t="s">
        <v>35</v>
      </c>
      <c r="K57" s="49"/>
      <c r="U57" s="5"/>
      <c r="V57" s="5"/>
      <c r="W57" s="5"/>
      <c r="X57" s="5"/>
      <c r="Y57" s="5"/>
      <c r="Z57" s="5"/>
      <c r="AA57" s="5"/>
      <c r="AB57" s="5"/>
      <c r="AC57" s="5"/>
      <c r="AD57" s="5"/>
      <c r="AE57" s="5"/>
      <c r="AF57" s="5"/>
      <c r="AG57" s="5"/>
      <c r="AH57" s="5"/>
      <c r="AI57" s="5"/>
      <c r="AJ57" s="5"/>
      <c r="AK57" s="5"/>
    </row>
    <row r="58" spans="4:37" ht="15" hidden="1" customHeight="1">
      <c r="D58" s="248"/>
      <c r="E58" s="48" t="s">
        <v>88</v>
      </c>
      <c r="F58" s="44"/>
      <c r="G58" s="44" t="s">
        <v>86</v>
      </c>
      <c r="H58" s="48">
        <f>GEOMETRY!H74</f>
        <v>270</v>
      </c>
      <c r="I58" s="48"/>
      <c r="J58" s="48" t="s">
        <v>35</v>
      </c>
      <c r="K58" s="49"/>
      <c r="U58" s="5"/>
      <c r="AI58" s="5"/>
      <c r="AJ58" s="5"/>
      <c r="AK58" s="5"/>
    </row>
    <row r="59" spans="4:37" ht="15" hidden="1" customHeight="1">
      <c r="D59" s="248"/>
      <c r="E59" s="48" t="s">
        <v>237</v>
      </c>
      <c r="F59" s="44"/>
      <c r="G59" s="44" t="s">
        <v>85</v>
      </c>
      <c r="H59" s="48">
        <f>GEOMETRY!H75</f>
        <v>260</v>
      </c>
      <c r="I59" s="48"/>
      <c r="J59" s="48" t="s">
        <v>35</v>
      </c>
      <c r="K59" s="49"/>
      <c r="U59" s="5"/>
      <c r="AI59" s="5"/>
      <c r="AJ59" s="5"/>
      <c r="AK59" s="5"/>
    </row>
    <row r="60" spans="4:37" ht="15" hidden="1" customHeight="1">
      <c r="D60" s="50"/>
      <c r="E60" s="52" t="s">
        <v>230</v>
      </c>
      <c r="F60" s="51"/>
      <c r="G60" s="51" t="s">
        <v>231</v>
      </c>
      <c r="H60" s="52">
        <f>GEOMETRY!H76</f>
        <v>170</v>
      </c>
      <c r="I60" s="52"/>
      <c r="J60" s="52" t="s">
        <v>35</v>
      </c>
      <c r="K60" s="53"/>
      <c r="U60" s="5"/>
      <c r="AI60" s="5"/>
      <c r="AJ60" s="5"/>
      <c r="AK60" s="5"/>
    </row>
    <row r="61" spans="4:37" ht="15" hidden="1" customHeight="1">
      <c r="U61" s="5"/>
      <c r="AI61" s="5"/>
      <c r="AJ61" s="5"/>
      <c r="AK61" s="5"/>
    </row>
    <row r="62" spans="4:37" ht="12.75" customHeight="1">
      <c r="U62" s="5"/>
      <c r="V62" s="5"/>
      <c r="W62" s="5"/>
      <c r="X62" s="5"/>
      <c r="Y62" s="5"/>
      <c r="Z62" s="5"/>
      <c r="AA62" s="5"/>
      <c r="AB62" s="5"/>
      <c r="AC62" s="5"/>
      <c r="AD62" s="5"/>
      <c r="AE62" s="5"/>
      <c r="AF62" s="5"/>
      <c r="AG62" s="5"/>
      <c r="AH62" s="5"/>
      <c r="AI62" s="5"/>
      <c r="AJ62" s="5"/>
      <c r="AK62" s="5"/>
    </row>
    <row r="63" spans="4:37" ht="12.75" customHeight="1">
      <c r="D63" s="68"/>
      <c r="E63" s="228" t="str">
        <f>CONCATENATE(GEOMETRY!E2," - ",traduzioni!A82)</f>
        <v>TC-FUSION CALCULATION - Verification</v>
      </c>
      <c r="F63" s="228"/>
      <c r="G63" s="228"/>
      <c r="H63" s="228"/>
      <c r="I63" s="228"/>
      <c r="J63" s="228"/>
      <c r="K63" s="68"/>
      <c r="U63" s="5"/>
      <c r="V63" s="5"/>
      <c r="W63" s="5"/>
      <c r="X63" s="5"/>
      <c r="Y63" s="5"/>
      <c r="Z63" s="5"/>
      <c r="AA63" s="5"/>
      <c r="AB63" s="5"/>
      <c r="AC63" s="5"/>
      <c r="AD63" s="5"/>
      <c r="AE63" s="5"/>
      <c r="AF63" s="5"/>
      <c r="AG63" s="5"/>
      <c r="AH63" s="5"/>
      <c r="AI63" s="5"/>
      <c r="AJ63" s="5"/>
      <c r="AK63" s="5"/>
    </row>
    <row r="64" spans="4:37" ht="12.75" customHeight="1">
      <c r="D64" s="68"/>
      <c r="E64" s="228"/>
      <c r="F64" s="228"/>
      <c r="G64" s="228"/>
      <c r="H64" s="228"/>
      <c r="I64" s="228"/>
      <c r="J64" s="228"/>
      <c r="K64" s="68"/>
      <c r="U64" s="5"/>
      <c r="AI64" s="5"/>
      <c r="AJ64" s="5"/>
      <c r="AK64" s="5"/>
    </row>
    <row r="65" spans="4:37" ht="12.75" customHeight="1">
      <c r="D65" s="68"/>
      <c r="E65" s="228"/>
      <c r="F65" s="228"/>
      <c r="G65" s="228"/>
      <c r="H65" s="228"/>
      <c r="I65" s="228"/>
      <c r="J65" s="228"/>
      <c r="K65" s="68"/>
      <c r="U65" s="5"/>
      <c r="AI65" s="5"/>
      <c r="AJ65" s="5"/>
      <c r="AK65" s="5"/>
    </row>
    <row r="66" spans="4:37" ht="12.75" customHeight="1">
      <c r="D66" s="68"/>
      <c r="E66" s="228"/>
      <c r="F66" s="228"/>
      <c r="G66" s="228"/>
      <c r="H66" s="228"/>
      <c r="I66" s="228"/>
      <c r="J66" s="228"/>
      <c r="K66" s="68"/>
      <c r="U66" s="5"/>
      <c r="AI66" s="5"/>
      <c r="AJ66" s="5"/>
      <c r="AK66" s="5"/>
    </row>
    <row r="67" spans="4:37" ht="12.75" customHeight="1">
      <c r="D67" s="68"/>
      <c r="E67" s="228"/>
      <c r="F67" s="228"/>
      <c r="G67" s="228"/>
      <c r="H67" s="228"/>
      <c r="I67" s="228"/>
      <c r="J67" s="228"/>
      <c r="K67" s="69" t="s">
        <v>1392</v>
      </c>
      <c r="U67" s="5"/>
      <c r="AI67" s="5"/>
      <c r="AJ67" s="5"/>
      <c r="AK67" s="5"/>
    </row>
    <row r="68" spans="4:37" ht="12.75" customHeight="1">
      <c r="E68" s="133"/>
      <c r="F68" s="133"/>
      <c r="G68" s="133"/>
      <c r="H68" s="133"/>
      <c r="I68" s="133"/>
      <c r="J68" s="133"/>
      <c r="K68" s="2"/>
      <c r="U68" s="5"/>
      <c r="V68" s="5"/>
      <c r="W68" s="5"/>
      <c r="X68" s="5"/>
      <c r="Y68" s="5"/>
      <c r="Z68" s="5"/>
      <c r="AA68" s="5"/>
      <c r="AB68" s="5"/>
      <c r="AC68" s="5" t="s">
        <v>256</v>
      </c>
      <c r="AD68" s="5"/>
      <c r="AE68" s="5">
        <f>0.25*H19</f>
        <v>65</v>
      </c>
      <c r="AF68" s="5" t="s">
        <v>35</v>
      </c>
      <c r="AG68" s="5"/>
      <c r="AH68" s="5"/>
      <c r="AI68" s="5"/>
      <c r="AJ68" s="5"/>
      <c r="AK68" s="5"/>
    </row>
    <row r="69" spans="4:37" ht="12.75" customHeight="1">
      <c r="E69" s="133"/>
      <c r="F69" s="133"/>
      <c r="G69" s="133"/>
      <c r="H69" s="133"/>
      <c r="I69" s="133"/>
      <c r="J69" s="133"/>
      <c r="K69" s="2"/>
      <c r="U69" s="5"/>
      <c r="V69" s="5"/>
      <c r="W69" s="5"/>
      <c r="X69" s="5">
        <f>IF(--MID(GEOMETRY!H31,3,1)=1,--MID(GEOMETRY!H31,3,2),--MID(GEOMETRY!H31,3,1))</f>
        <v>7</v>
      </c>
      <c r="Y69" s="5"/>
      <c r="Z69" s="5"/>
      <c r="AA69" s="5"/>
      <c r="AB69" s="246" t="str">
        <f>H20</f>
        <v>L</v>
      </c>
      <c r="AC69" s="246"/>
      <c r="AD69" s="246"/>
      <c r="AE69" s="246"/>
      <c r="AF69" s="5" t="s">
        <v>334</v>
      </c>
      <c r="AG69" s="5" t="s">
        <v>335</v>
      </c>
      <c r="AH69" s="5"/>
      <c r="AI69" s="5"/>
      <c r="AJ69" s="5"/>
      <c r="AK69" s="5"/>
    </row>
    <row r="70" spans="4:37" ht="12.75" customHeight="1">
      <c r="E70" s="133"/>
      <c r="F70" s="133"/>
      <c r="G70" s="133"/>
      <c r="H70" s="133"/>
      <c r="I70" s="186"/>
      <c r="J70" s="133"/>
      <c r="K70" s="2"/>
      <c r="U70" s="5"/>
      <c r="V70" s="5">
        <v>1</v>
      </c>
      <c r="W70" s="5">
        <f t="shared" ref="W70:W80" si="0">IF(V70&gt;$X$69,0,1)</f>
        <v>1</v>
      </c>
      <c r="X70" s="5" t="str">
        <f>IF(W70=1,"t1","")</f>
        <v>t1</v>
      </c>
      <c r="Y70" s="5">
        <f>W70*IF(X70="",0,IF(--MID(GEOMETRY!$H$31,3,1)=1,--MID(GEOMETRY!$H$32,15,2),--MID(GEOMETRY!$H$32,14,2)))</f>
        <v>40</v>
      </c>
      <c r="Z70" s="5" t="str">
        <f>H20</f>
        <v>L</v>
      </c>
      <c r="AA70" s="5"/>
      <c r="AB70" s="5">
        <f>IF(Z70="L",Y70,0)</f>
        <v>40</v>
      </c>
      <c r="AC70" s="5">
        <f>Y70</f>
        <v>40</v>
      </c>
      <c r="AD70" s="5">
        <f>IF(AC70&lt;$AE$68,AC70,"non compreso int")</f>
        <v>40</v>
      </c>
      <c r="AE70" s="5">
        <f>AD70*IF(AB70=0,0,1)</f>
        <v>40</v>
      </c>
      <c r="AF70" s="5">
        <f>AE70</f>
        <v>40</v>
      </c>
      <c r="AG70" s="5">
        <f>Y70/2</f>
        <v>20</v>
      </c>
      <c r="AH70" s="5">
        <f>AF70*AG70</f>
        <v>800</v>
      </c>
      <c r="AI70" s="5"/>
      <c r="AJ70" s="5"/>
      <c r="AK70" s="5"/>
    </row>
    <row r="71" spans="4:37" ht="12.75" customHeight="1">
      <c r="E71" s="133"/>
      <c r="F71" s="133"/>
      <c r="G71" s="133"/>
      <c r="H71" s="133"/>
      <c r="I71" s="133"/>
      <c r="J71" s="133"/>
      <c r="K71" s="2"/>
      <c r="U71" s="5"/>
      <c r="V71" s="5">
        <v>2</v>
      </c>
      <c r="W71" s="5">
        <f t="shared" si="0"/>
        <v>1</v>
      </c>
      <c r="X71" s="5" t="str">
        <f>IF(W71=1,"t2","")</f>
        <v>t2</v>
      </c>
      <c r="Y71" s="5">
        <f>W71*IF(X71="",0,IF(--MID(GEOMETRY!$H$31,3,1)=1,--MID(GEOMETRY!$H$32,15+3,2),--MID(GEOMETRY!$H$32,14+3,2)))</f>
        <v>40</v>
      </c>
      <c r="Z71" s="5" t="str">
        <f t="shared" ref="Z71:Z80" si="1">IF(Z70="L","T","L")</f>
        <v>T</v>
      </c>
      <c r="AA71" s="5"/>
      <c r="AB71" s="5">
        <f>IF(Z71="L",Y71,0)</f>
        <v>0</v>
      </c>
      <c r="AC71" s="5">
        <f>Y71</f>
        <v>40</v>
      </c>
      <c r="AD71" s="5">
        <f>IF(AC71+AD70&lt;$AE$68,AC71,AE68-AD70)</f>
        <v>25</v>
      </c>
      <c r="AE71" s="5">
        <f>AD71*IF(AB71=0,0,1)</f>
        <v>0</v>
      </c>
      <c r="AF71" s="5">
        <f>AE71</f>
        <v>0</v>
      </c>
      <c r="AG71" s="5">
        <f>Y71+AF71/2</f>
        <v>40</v>
      </c>
      <c r="AH71" s="5">
        <f>AF71*AG71</f>
        <v>0</v>
      </c>
      <c r="AI71" s="5"/>
      <c r="AJ71" s="5"/>
      <c r="AK71" s="5"/>
    </row>
    <row r="72" spans="4:37" ht="12.75" customHeight="1">
      <c r="I72"/>
      <c r="U72" s="5"/>
      <c r="V72" s="5">
        <v>3</v>
      </c>
      <c r="W72" s="5">
        <f t="shared" si="0"/>
        <v>1</v>
      </c>
      <c r="X72" s="5" t="str">
        <f>IF(W72=1,"t3","")</f>
        <v>t3</v>
      </c>
      <c r="Y72" s="5">
        <f>W72*IF(X72="",0,IF(--MID(GEOMETRY!$H$31,3,1)=1,--MID(GEOMETRY!$H$32,15+6,2),--MID(GEOMETRY!$H$32,14+6,2)))</f>
        <v>30</v>
      </c>
      <c r="Z72" s="5" t="str">
        <f t="shared" si="1"/>
        <v>L</v>
      </c>
      <c r="AA72" s="5"/>
      <c r="AB72" s="5">
        <f t="shared" ref="AB72:AB80" si="2">IF(Z72="L",Y72,0)</f>
        <v>30</v>
      </c>
      <c r="AC72" s="5">
        <f t="shared" ref="AC72:AC80" si="3">Y72</f>
        <v>30</v>
      </c>
      <c r="AD72" s="5">
        <f>IF(AC72+AD70+AD71&lt;$AE$68,AC72,AE68-AD70-AD71)</f>
        <v>0</v>
      </c>
      <c r="AE72" s="5">
        <f>AD72*IF(AB72=0,0,1)</f>
        <v>0</v>
      </c>
      <c r="AF72" s="5">
        <f t="shared" ref="AF72:AF80" si="4">AE72</f>
        <v>0</v>
      </c>
      <c r="AG72" s="5">
        <f>Y71+AF72/2</f>
        <v>40</v>
      </c>
      <c r="AH72" s="5">
        <f t="shared" ref="AH72:AH80" si="5">AF72*AG72</f>
        <v>0</v>
      </c>
      <c r="AI72" s="5"/>
      <c r="AJ72" s="5"/>
      <c r="AK72" s="5"/>
    </row>
    <row r="73" spans="4:37" ht="15" customHeight="1">
      <c r="D73" s="219" t="str">
        <f>traduzioni!A101</f>
        <v>Neutral axis calculation - Bending</v>
      </c>
      <c r="E73" s="70" t="s">
        <v>1396</v>
      </c>
      <c r="F73" s="71"/>
      <c r="G73" s="71" t="str">
        <f>traduzioni!A102</f>
        <v>Bending moment with respect to screws</v>
      </c>
      <c r="H73" s="84">
        <f>H9+H6*((H19/2-H55)/1000)</f>
        <v>11.9</v>
      </c>
      <c r="I73" s="84"/>
      <c r="J73" s="70" t="s">
        <v>62</v>
      </c>
      <c r="K73" s="92"/>
      <c r="U73" s="5"/>
      <c r="V73" s="5">
        <v>4</v>
      </c>
      <c r="W73" s="5">
        <f t="shared" si="0"/>
        <v>1</v>
      </c>
      <c r="X73" s="5" t="str">
        <f>IF(W73=1,"t4","")</f>
        <v>t4</v>
      </c>
      <c r="Y73" s="5">
        <f>W73*IF(X73="",0,IF(--MID(GEOMETRY!$H$31,3,1)=1,--MID(GEOMETRY!$H$32,15+9,2),--MID(GEOMETRY!$H$32,14+9,2)))</f>
        <v>40</v>
      </c>
      <c r="Z73" s="5" t="str">
        <f t="shared" si="1"/>
        <v>T</v>
      </c>
      <c r="AA73" s="5"/>
      <c r="AB73" s="5">
        <f t="shared" si="2"/>
        <v>0</v>
      </c>
      <c r="AC73" s="5">
        <f t="shared" si="3"/>
        <v>40</v>
      </c>
      <c r="AD73" s="5">
        <f>IF(AC73+AD70+AD71+AD72&lt;$AE$68,AC73,AE68-AD70-AD71-AD72)</f>
        <v>0</v>
      </c>
      <c r="AE73" s="5">
        <f t="shared" ref="AE73:AE79" si="6">AD73*IF(AB73=0,0,1)</f>
        <v>0</v>
      </c>
      <c r="AF73" s="5">
        <f t="shared" si="4"/>
        <v>0</v>
      </c>
      <c r="AG73" s="5">
        <f t="shared" ref="AG73:AG80" si="7">Y72+AF73/2</f>
        <v>30</v>
      </c>
      <c r="AH73" s="5">
        <f t="shared" si="5"/>
        <v>0</v>
      </c>
      <c r="AI73" s="5"/>
      <c r="AJ73" s="5"/>
      <c r="AK73" s="5"/>
    </row>
    <row r="74" spans="4:37" ht="15" customHeight="1">
      <c r="D74" s="220"/>
      <c r="E74" s="35" t="s">
        <v>118</v>
      </c>
      <c r="F74" s="38"/>
      <c r="G74" s="85" t="str">
        <f>traduzioni!A103</f>
        <v>Neutral axis</v>
      </c>
      <c r="H74" s="105">
        <f>IF(GEOMETRY!H34="L",IF(U84&lt;Y70,U84,IF(U84&gt;Y70,U85,IF(U85&gt;(Y70+Y71+Y72),"NOT POSSIBLE"))),IF(GEOMETRY!H34="T",IF(Z84&lt;Y70,Z84,IF(Z84&gt;Y70,Z85,IF(Z85&gt;(Y70+Y71+Y72),"NOT POSSIBLE"))),0))</f>
        <v>3.9431356245431175</v>
      </c>
      <c r="I74" s="105"/>
      <c r="J74" s="86" t="s">
        <v>35</v>
      </c>
      <c r="K74" s="93"/>
      <c r="L74" t="s">
        <v>337</v>
      </c>
      <c r="S74" s="5" t="s">
        <v>308</v>
      </c>
      <c r="U74" s="5"/>
      <c r="V74" s="5">
        <v>5</v>
      </c>
      <c r="W74" s="5">
        <f t="shared" si="0"/>
        <v>1</v>
      </c>
      <c r="X74" s="5" t="str">
        <f>IF(W74=1,"t5","")</f>
        <v>t5</v>
      </c>
      <c r="Y74" s="5">
        <f>W74*IF(X74="",0,IF(--MID(GEOMETRY!$H$31,3,1)=1,--MID(GEOMETRY!$H$32,15+12,2),--MID(GEOMETRY!$H$32,14+12,2)))</f>
        <v>30</v>
      </c>
      <c r="Z74" s="5" t="str">
        <f t="shared" si="1"/>
        <v>L</v>
      </c>
      <c r="AA74" s="5">
        <f>--MID(GEOMETRY!$H$32,11+12,2)</f>
        <v>40</v>
      </c>
      <c r="AB74" s="5">
        <f t="shared" si="2"/>
        <v>30</v>
      </c>
      <c r="AC74" s="5">
        <f t="shared" si="3"/>
        <v>30</v>
      </c>
      <c r="AD74" s="5"/>
      <c r="AE74" s="5">
        <f t="shared" si="6"/>
        <v>0</v>
      </c>
      <c r="AF74" s="5">
        <f t="shared" si="4"/>
        <v>0</v>
      </c>
      <c r="AG74" s="5">
        <f t="shared" si="7"/>
        <v>40</v>
      </c>
      <c r="AH74" s="5">
        <f t="shared" si="5"/>
        <v>0</v>
      </c>
      <c r="AI74" s="5"/>
      <c r="AJ74" s="5"/>
      <c r="AK74" s="5"/>
    </row>
    <row r="75" spans="4:37" ht="15" customHeight="1">
      <c r="D75" s="220"/>
      <c r="E75" s="35"/>
      <c r="F75" s="38"/>
      <c r="G75" s="38"/>
      <c r="H75" s="81" t="str">
        <f>IF(H74&lt;Y70,"x&lt;t1",IF(H74&gt;Y70,"x&gt;t1",0))</f>
        <v>x&lt;t1</v>
      </c>
      <c r="I75" s="81"/>
      <c r="J75" s="35"/>
      <c r="K75" s="93"/>
      <c r="S75" s="62">
        <f>H56*(1-(1-((2*H73*1000+H6*1000*(2*H56-H19))/(H48*1*H56^2)))^0.5)</f>
        <v>3.9431356245431242</v>
      </c>
      <c r="U75" s="5"/>
      <c r="V75" s="5">
        <v>6</v>
      </c>
      <c r="W75" s="5">
        <f t="shared" si="0"/>
        <v>1</v>
      </c>
      <c r="X75" s="5" t="str">
        <f>IF(W75=1,"t6","")</f>
        <v>t6</v>
      </c>
      <c r="Y75" s="5">
        <f>W75*IF(X75="",0,IF(--MID(GEOMETRY!$H$31,3,1)=1,--MID(GEOMETRY!$H$32,15+15,2),--MID(GEOMETRY!$H$32,14+15,2)))</f>
        <v>40</v>
      </c>
      <c r="Z75" s="5" t="str">
        <f t="shared" si="1"/>
        <v>T</v>
      </c>
      <c r="AA75" s="5">
        <f>--MID(GEOMETRY!$H$32,11+12,2)</f>
        <v>40</v>
      </c>
      <c r="AB75" s="5">
        <f t="shared" si="2"/>
        <v>0</v>
      </c>
      <c r="AC75" s="5">
        <f>Y75</f>
        <v>40</v>
      </c>
      <c r="AD75" s="5"/>
      <c r="AE75" s="5">
        <f t="shared" si="6"/>
        <v>0</v>
      </c>
      <c r="AF75" s="5">
        <f t="shared" si="4"/>
        <v>0</v>
      </c>
      <c r="AG75" s="5">
        <f t="shared" si="7"/>
        <v>30</v>
      </c>
      <c r="AH75" s="5">
        <f t="shared" si="5"/>
        <v>0</v>
      </c>
      <c r="AI75" s="5"/>
      <c r="AJ75" s="5"/>
      <c r="AK75" s="5"/>
    </row>
    <row r="76" spans="4:37" ht="15" customHeight="1">
      <c r="D76" s="220"/>
      <c r="E76" s="35" t="s">
        <v>117</v>
      </c>
      <c r="F76" s="38"/>
      <c r="G76" s="38" t="str">
        <f>traduzioni!A104</f>
        <v>Compressed portion first lamella</v>
      </c>
      <c r="H76" s="81">
        <f>IF(H20="L",IF(H75="x&lt;t1",H74,IF(H75="x&gt;t1",Y70)),IF(H20="T",I76,))</f>
        <v>3.9431356245431175</v>
      </c>
      <c r="I76" s="189">
        <v>0</v>
      </c>
      <c r="J76" s="35" t="s">
        <v>35</v>
      </c>
      <c r="K76" s="79"/>
      <c r="L76" s="4"/>
      <c r="M76" s="4"/>
      <c r="N76" s="4"/>
      <c r="O76" s="4"/>
      <c r="P76" s="4"/>
      <c r="U76" s="5"/>
      <c r="V76" s="5">
        <v>7</v>
      </c>
      <c r="W76" s="5">
        <f t="shared" si="0"/>
        <v>1</v>
      </c>
      <c r="X76" s="5" t="str">
        <f>IF(W76=1,"t7","")</f>
        <v>t7</v>
      </c>
      <c r="Y76" s="5">
        <f>W76*IF(X76="",0,IF(--MID(GEOMETRY!$H$31,3,1)=1,--MID(GEOMETRY!$H$32,15+18,2),--MID(GEOMETRY!$H$32,14+18,2)))</f>
        <v>40</v>
      </c>
      <c r="Z76" s="5" t="str">
        <f t="shared" si="1"/>
        <v>L</v>
      </c>
      <c r="AA76" s="5"/>
      <c r="AB76" s="5">
        <f t="shared" si="2"/>
        <v>40</v>
      </c>
      <c r="AC76" s="5">
        <f t="shared" si="3"/>
        <v>40</v>
      </c>
      <c r="AD76" s="5"/>
      <c r="AE76" s="5">
        <f t="shared" si="6"/>
        <v>0</v>
      </c>
      <c r="AF76" s="5">
        <f t="shared" si="4"/>
        <v>0</v>
      </c>
      <c r="AG76" s="5">
        <f t="shared" si="7"/>
        <v>40</v>
      </c>
      <c r="AH76" s="5">
        <f t="shared" si="5"/>
        <v>0</v>
      </c>
      <c r="AI76" s="5"/>
      <c r="AJ76" s="5"/>
      <c r="AK76" s="5"/>
    </row>
    <row r="77" spans="4:37" ht="15" customHeight="1">
      <c r="D77" s="220"/>
      <c r="E77" s="35" t="s">
        <v>7</v>
      </c>
      <c r="F77" s="38"/>
      <c r="G77" s="38" t="str">
        <f>traduzioni!A105</f>
        <v>Compressed portion second lamella</v>
      </c>
      <c r="H77" s="81">
        <f>IF(H20="L",IF(H75="x&lt;t1",0,Y71),IF(H20="T",I77,))</f>
        <v>0</v>
      </c>
      <c r="I77" s="189">
        <f>IF(Z84&gt;Y71,"non implementato",Z84)</f>
        <v>4.8676985402242963</v>
      </c>
      <c r="J77" s="35" t="s">
        <v>35</v>
      </c>
      <c r="K77" s="79"/>
      <c r="L77" s="9"/>
      <c r="M77" s="9"/>
      <c r="N77" s="9"/>
      <c r="O77" s="9"/>
      <c r="P77" s="9"/>
      <c r="U77" s="5"/>
      <c r="V77" s="5">
        <v>8</v>
      </c>
      <c r="W77" s="5">
        <f t="shared" si="0"/>
        <v>0</v>
      </c>
      <c r="X77" s="5" t="str">
        <f>IF(W77=1,"t8","")</f>
        <v/>
      </c>
      <c r="Y77" s="5">
        <f>W77*IF(X77="",0,IF(--MID(GEOMETRY!$H$31,3,1)=1,--MID(GEOMETRY!$H$32,15+21,2),--MID(GEOMETRY!$H$32,14+21,2)))</f>
        <v>0</v>
      </c>
      <c r="Z77" s="5" t="str">
        <f t="shared" si="1"/>
        <v>T</v>
      </c>
      <c r="AA77" s="5"/>
      <c r="AB77" s="5">
        <f t="shared" si="2"/>
        <v>0</v>
      </c>
      <c r="AC77" s="5">
        <f t="shared" si="3"/>
        <v>0</v>
      </c>
      <c r="AD77" s="5"/>
      <c r="AE77" s="5">
        <f t="shared" si="6"/>
        <v>0</v>
      </c>
      <c r="AF77" s="5">
        <f t="shared" si="4"/>
        <v>0</v>
      </c>
      <c r="AG77" s="5">
        <f t="shared" si="7"/>
        <v>40</v>
      </c>
      <c r="AH77" s="5">
        <f t="shared" si="5"/>
        <v>0</v>
      </c>
      <c r="AI77" s="5"/>
      <c r="AJ77" s="5"/>
      <c r="AK77" s="5"/>
    </row>
    <row r="78" spans="4:37" ht="15" customHeight="1">
      <c r="D78" s="220"/>
      <c r="E78" s="35" t="s">
        <v>114</v>
      </c>
      <c r="F78" s="38"/>
      <c r="G78" s="38" t="str">
        <f>traduzioni!A106</f>
        <v>Compressed portion third lamella</v>
      </c>
      <c r="H78" s="81">
        <f>IF(H20="L",IF(H75="x&lt;t1",0,((H56-Y70-Y71)-((H56-Y70-Y71)^2+2*Y70*(H56-Y70/2)-(2*H73*1000*1000/H4/H48))^0.5)),IF(H20="T",I78,))</f>
        <v>0</v>
      </c>
      <c r="I78" s="189">
        <v>0</v>
      </c>
      <c r="J78" s="35" t="s">
        <v>35</v>
      </c>
      <c r="K78" s="79"/>
      <c r="L78" s="4"/>
      <c r="M78" s="4"/>
      <c r="N78" s="4"/>
      <c r="O78" s="4"/>
      <c r="P78" s="4"/>
      <c r="U78" s="5"/>
      <c r="V78" s="5">
        <v>9</v>
      </c>
      <c r="W78" s="5">
        <f t="shared" si="0"/>
        <v>0</v>
      </c>
      <c r="X78" s="5" t="str">
        <f>IF(W78=1,"t9","")</f>
        <v/>
      </c>
      <c r="Y78" s="5">
        <f>W78*IF(X78="",0,IF(--MID(GEOMETRY!$H$31,3,1)=1,--MID(GEOMETRY!$H$32,15+24,2),--MID(GEOMETRY!$H$32,14+24,2)))</f>
        <v>0</v>
      </c>
      <c r="Z78" s="5" t="str">
        <f t="shared" si="1"/>
        <v>L</v>
      </c>
      <c r="AA78" s="5"/>
      <c r="AB78" s="5">
        <f t="shared" si="2"/>
        <v>0</v>
      </c>
      <c r="AC78" s="5">
        <f t="shared" si="3"/>
        <v>0</v>
      </c>
      <c r="AD78" s="5"/>
      <c r="AE78" s="5">
        <f t="shared" si="6"/>
        <v>0</v>
      </c>
      <c r="AF78" s="5">
        <f t="shared" si="4"/>
        <v>0</v>
      </c>
      <c r="AG78" s="5">
        <f t="shared" si="7"/>
        <v>0</v>
      </c>
      <c r="AH78" s="5">
        <f t="shared" si="5"/>
        <v>0</v>
      </c>
      <c r="AI78" s="5"/>
      <c r="AJ78" s="5"/>
      <c r="AK78" s="5"/>
    </row>
    <row r="79" spans="4:37" ht="15" customHeight="1">
      <c r="D79" s="220"/>
      <c r="E79" s="35" t="s">
        <v>147</v>
      </c>
      <c r="F79" s="38"/>
      <c r="G79" s="38" t="str">
        <f>traduzioni!A107</f>
        <v>Resulting position</v>
      </c>
      <c r="H79" s="82">
        <f>IF(H20="L",IF(U84&lt;Y70,(H76/2),(0.5*(H78^2+2*H78*(H77+H76)+H76^2)/(H76+H78))),IF(H20="T",I79,))</f>
        <v>1.9715678122715588</v>
      </c>
      <c r="I79" s="190">
        <f>IF(Z84&lt;Y71,(Y70+Z84/2),"non implementato")</f>
        <v>42.433849270112148</v>
      </c>
      <c r="J79" s="35" t="s">
        <v>35</v>
      </c>
      <c r="K79" s="79"/>
      <c r="L79" t="s">
        <v>342</v>
      </c>
      <c r="R79" s="5"/>
      <c r="S79" s="5"/>
      <c r="T79" s="5"/>
      <c r="U79" s="5"/>
      <c r="V79" s="5">
        <v>10</v>
      </c>
      <c r="W79" s="5">
        <f t="shared" si="0"/>
        <v>0</v>
      </c>
      <c r="X79" s="5" t="str">
        <f>IF(W79=1,"t10","")</f>
        <v/>
      </c>
      <c r="Y79" s="5">
        <f>W79*IF(X79="",0,IF(--MID(GEOMETRY!$H$31,3,1)=1,--MID(GEOMETRY!$H$32,15+27,2),--MID(GEOMETRY!$H$32,14+27,2)))</f>
        <v>0</v>
      </c>
      <c r="Z79" s="5" t="str">
        <f t="shared" si="1"/>
        <v>T</v>
      </c>
      <c r="AA79" s="5"/>
      <c r="AB79" s="5">
        <f t="shared" si="2"/>
        <v>0</v>
      </c>
      <c r="AC79" s="5">
        <f t="shared" si="3"/>
        <v>0</v>
      </c>
      <c r="AD79" s="5"/>
      <c r="AE79" s="5">
        <f t="shared" si="6"/>
        <v>0</v>
      </c>
      <c r="AF79" s="5">
        <f t="shared" si="4"/>
        <v>0</v>
      </c>
      <c r="AG79" s="5">
        <f t="shared" si="7"/>
        <v>0</v>
      </c>
      <c r="AH79" s="5">
        <f t="shared" si="5"/>
        <v>0</v>
      </c>
      <c r="AI79" s="5"/>
      <c r="AJ79" s="5"/>
      <c r="AK79" s="5"/>
    </row>
    <row r="80" spans="4:37" ht="15" customHeight="1">
      <c r="D80" s="221"/>
      <c r="E80" s="73" t="s">
        <v>148</v>
      </c>
      <c r="F80" s="74"/>
      <c r="G80" s="74" t="str">
        <f>traduzioni!A108</f>
        <v>Lever arm</v>
      </c>
      <c r="H80" s="91">
        <f>IF(H20="L",H56-H79,IF(H20="T",H56-I79,"NO"))</f>
        <v>213.02843218772844</v>
      </c>
      <c r="I80" s="91"/>
      <c r="J80" s="73" t="s">
        <v>35</v>
      </c>
      <c r="K80" s="80"/>
      <c r="L80" t="s">
        <v>342</v>
      </c>
      <c r="R80" s="5"/>
      <c r="S80" s="5"/>
      <c r="T80" s="5"/>
      <c r="U80" s="5"/>
      <c r="V80" s="5">
        <v>11</v>
      </c>
      <c r="W80" s="5">
        <f t="shared" si="0"/>
        <v>0</v>
      </c>
      <c r="X80" s="5" t="str">
        <f>IF(W80=1,"t11","")</f>
        <v/>
      </c>
      <c r="Y80" s="5">
        <f>W80*IF(X80="",0,IF(--MID(GEOMETRY!$H$31,3,1)=1,--MID(GEOMETRY!$H$32,15+30,2),--MID(GEOMETRY!$H$32,14+30,2)))</f>
        <v>0</v>
      </c>
      <c r="Z80" s="5" t="str">
        <f t="shared" si="1"/>
        <v>L</v>
      </c>
      <c r="AA80" s="5"/>
      <c r="AB80" s="5">
        <f t="shared" si="2"/>
        <v>0</v>
      </c>
      <c r="AC80" s="5">
        <f t="shared" si="3"/>
        <v>0</v>
      </c>
      <c r="AD80" s="5"/>
      <c r="AE80" s="5">
        <f>AD80*IF(AB80=0,0,1)</f>
        <v>0</v>
      </c>
      <c r="AF80" s="5">
        <f t="shared" si="4"/>
        <v>0</v>
      </c>
      <c r="AG80" s="5">
        <f t="shared" si="7"/>
        <v>0</v>
      </c>
      <c r="AH80" s="5">
        <f t="shared" si="5"/>
        <v>0</v>
      </c>
      <c r="AI80" s="5"/>
      <c r="AJ80" s="5"/>
      <c r="AK80" s="5"/>
    </row>
    <row r="81" spans="4:37" ht="15" customHeight="1">
      <c r="D81" s="29"/>
      <c r="E81" s="35"/>
      <c r="F81" s="38"/>
      <c r="G81" s="38"/>
      <c r="H81" s="82"/>
      <c r="I81" s="82"/>
      <c r="J81" s="35"/>
      <c r="K81" s="38"/>
      <c r="R81" s="5"/>
      <c r="S81" s="5"/>
      <c r="T81" s="5"/>
      <c r="U81" s="5"/>
      <c r="V81" s="5"/>
      <c r="W81" s="5"/>
      <c r="X81" s="5"/>
      <c r="Y81" s="5"/>
      <c r="Z81" s="5"/>
      <c r="AA81" s="5"/>
      <c r="AB81" s="5"/>
      <c r="AC81" s="5" t="s">
        <v>333</v>
      </c>
      <c r="AD81" s="5"/>
      <c r="AE81" s="5">
        <f>SUM(AE70:AE80)</f>
        <v>40</v>
      </c>
      <c r="AF81" s="5">
        <f>SUM(AF70:AF80)</f>
        <v>40</v>
      </c>
      <c r="AG81" s="5">
        <f>SUM(AG70:AG80)</f>
        <v>280</v>
      </c>
      <c r="AH81" s="5">
        <f>SUM(AH70:AH80)</f>
        <v>800</v>
      </c>
      <c r="AI81" s="5"/>
      <c r="AJ81" s="5"/>
      <c r="AK81" s="5"/>
    </row>
    <row r="82" spans="4:37" ht="15" customHeight="1">
      <c r="D82" s="219" t="str">
        <f>traduzioni!A109</f>
        <v>Stress calculation</v>
      </c>
      <c r="E82" s="70"/>
      <c r="F82" s="71"/>
      <c r="G82" s="71" t="str">
        <f>traduzioni!A110</f>
        <v>Maximum action on all screws</v>
      </c>
      <c r="H82" s="94">
        <f>(H9/(H80/1000)+H6)</f>
        <v>55.861088014360853</v>
      </c>
      <c r="I82" s="94"/>
      <c r="J82" s="70" t="s">
        <v>55</v>
      </c>
      <c r="K82" s="252" t="str">
        <f>traduzioni!A119</f>
        <v>(*) traction is considered to be absorbed only by the screws on the lower line</v>
      </c>
      <c r="L82" t="str">
        <f>IF(H10="POS",traduzioni!A120, IF(H10="NEG",traduzioni!A121,"NO"))</f>
        <v>Lower tense fibers</v>
      </c>
      <c r="R82" s="5">
        <f>IF(GEOMETRY!H34="L",1,IF(GEOMETRY!H34="T",IF(Z84&lt;Y70,2,0)))</f>
        <v>1</v>
      </c>
      <c r="S82" s="5"/>
      <c r="T82" s="5" t="str">
        <f>IF(U84&lt;Y70,"Set I annex E4",IF(U84&gt;Y70,"Set II annexE5",IF(U85&gt;(Y70+Y71+Y72),"NOT POSSIBLE")))</f>
        <v>Set I annex E4</v>
      </c>
      <c r="U82" s="5"/>
      <c r="V82" s="5"/>
      <c r="W82" s="5"/>
      <c r="X82" s="5"/>
      <c r="Y82" s="5"/>
      <c r="Z82" s="5"/>
      <c r="AA82" s="5"/>
      <c r="AB82" s="5"/>
      <c r="AC82" s="5"/>
      <c r="AD82" s="5"/>
      <c r="AE82" s="5"/>
      <c r="AF82" s="5"/>
      <c r="AG82" s="5"/>
      <c r="AH82" s="5"/>
      <c r="AI82" s="56"/>
      <c r="AJ82" s="5"/>
      <c r="AK82" s="5"/>
    </row>
    <row r="83" spans="4:37" ht="15" customHeight="1">
      <c r="D83" s="220"/>
      <c r="E83" s="35" t="s">
        <v>383</v>
      </c>
      <c r="F83" s="38"/>
      <c r="G83" s="38" t="str">
        <f>traduzioni!A111</f>
        <v>Maximum action on single screw (*)</v>
      </c>
      <c r="H83" s="82">
        <f>(H9/(H80/1000)+H6)*((IF(H10="POS",H31, IF(H10="NEG",H30,"NO")))/1000)</f>
        <v>11.172217602872172</v>
      </c>
      <c r="I83" s="81"/>
      <c r="J83" s="35" t="s">
        <v>55</v>
      </c>
      <c r="K83" s="239"/>
      <c r="L83" t="s">
        <v>338</v>
      </c>
      <c r="R83" s="5">
        <f>IF(GEOMETRY!H34="L",1,IF(GEOMETRY!H34="T",IF(Z84&lt;Y70,2,0)))</f>
        <v>1</v>
      </c>
      <c r="S83" s="5"/>
      <c r="T83" s="5"/>
      <c r="U83" s="5"/>
      <c r="V83" s="5"/>
      <c r="W83" s="5"/>
      <c r="X83" s="5"/>
      <c r="Y83" s="5"/>
      <c r="Z83" s="5"/>
      <c r="AA83" s="5"/>
      <c r="AB83" s="5"/>
      <c r="AC83" s="5"/>
      <c r="AD83" s="5"/>
      <c r="AE83" s="5"/>
      <c r="AF83" s="5"/>
      <c r="AG83" s="5"/>
      <c r="AH83" s="5"/>
      <c r="AI83" s="56"/>
      <c r="AJ83" s="5"/>
      <c r="AK83" s="5"/>
    </row>
    <row r="84" spans="4:37" ht="15" customHeight="1">
      <c r="D84" s="220"/>
      <c r="E84" s="35"/>
      <c r="F84" s="38"/>
      <c r="G84" s="38"/>
      <c r="H84" s="35"/>
      <c r="I84" s="35"/>
      <c r="J84" s="35"/>
      <c r="K84" s="239"/>
      <c r="R84" s="5"/>
      <c r="S84" s="5"/>
      <c r="T84" s="5" t="s">
        <v>111</v>
      </c>
      <c r="U84" s="56">
        <f>H56-(((H48*(H56)^2)-(2*H73*1000))/H48)^0.5</f>
        <v>3.9431356245431175</v>
      </c>
      <c r="V84" s="5" t="s">
        <v>113</v>
      </c>
      <c r="W84" s="5"/>
      <c r="X84" s="5"/>
      <c r="Y84" s="5" t="s">
        <v>111</v>
      </c>
      <c r="Z84" s="5">
        <f>(H56-Y70)-(((H48*(H56-Y70)^2)-(2*H73*1000))/H48)^0.5</f>
        <v>4.8676985402242963</v>
      </c>
      <c r="AA84" s="5"/>
      <c r="AB84" s="5"/>
      <c r="AC84" s="5"/>
      <c r="AD84" s="5"/>
      <c r="AE84" s="5"/>
      <c r="AF84" s="5"/>
      <c r="AG84" s="5"/>
      <c r="AH84" s="5"/>
      <c r="AI84" s="5"/>
      <c r="AJ84" s="5"/>
      <c r="AK84" s="5"/>
    </row>
    <row r="85" spans="4:37" ht="15" customHeight="1">
      <c r="D85" s="220"/>
      <c r="E85" s="35" t="s">
        <v>298</v>
      </c>
      <c r="F85" s="38"/>
      <c r="G85" s="38" t="str">
        <f>traduzioni!A112</f>
        <v>Maximum in-plane screw action on single top screw</v>
      </c>
      <c r="H85" s="81">
        <f>(((ABS(H14)/(H60*10^-3))+(H32/(H32+H33))*ABS(H7))*H30)/1000</f>
        <v>0</v>
      </c>
      <c r="I85" s="35"/>
      <c r="J85" s="35" t="s">
        <v>55</v>
      </c>
      <c r="K85" s="79"/>
      <c r="L85" t="s">
        <v>292</v>
      </c>
      <c r="R85" s="5"/>
      <c r="S85" s="5"/>
      <c r="T85" s="5" t="s">
        <v>112</v>
      </c>
      <c r="U85" s="57">
        <f>((Y70+Y71+((H56-Y70-Y71)-((H56-Y70-Y71)^2+2*Y70*(H56-Y70/2)-(2*H73*1000*1000/1000/H48))^0.5)))</f>
        <v>35.709732556393334</v>
      </c>
      <c r="V85" s="5" t="s">
        <v>113</v>
      </c>
      <c r="W85" s="5"/>
      <c r="X85" s="5"/>
      <c r="Y85" s="5" t="s">
        <v>112</v>
      </c>
      <c r="Z85" s="5">
        <f>((Y70+Y71+((H56-Y70-Y71)-((H56-Y70-Y71)^2+2*Y70*(H56-Y70/2)-(2*H73*1000*1000/1000/H48))^0.5)))</f>
        <v>35.709732556393334</v>
      </c>
      <c r="AA85" s="5"/>
      <c r="AB85" s="5"/>
      <c r="AC85" s="5" t="s">
        <v>290</v>
      </c>
      <c r="AD85" s="5">
        <f>AD70/2</f>
        <v>20</v>
      </c>
      <c r="AE85" s="5" t="s">
        <v>35</v>
      </c>
      <c r="AF85" s="5" t="s">
        <v>336</v>
      </c>
      <c r="AG85" s="5">
        <f>IF(AB69="T",AF71,AF70/2)</f>
        <v>20</v>
      </c>
      <c r="AH85" s="5" t="s">
        <v>113</v>
      </c>
      <c r="AI85" s="5">
        <f>MIN(AG85,AG86)</f>
        <v>20</v>
      </c>
      <c r="AJ85" s="5" t="s">
        <v>113</v>
      </c>
      <c r="AK85" s="5"/>
    </row>
    <row r="86" spans="4:37" ht="15" customHeight="1">
      <c r="D86" s="220"/>
      <c r="E86" s="35" t="s">
        <v>299</v>
      </c>
      <c r="F86" s="38"/>
      <c r="G86" s="38" t="str">
        <f>traduzioni!A113</f>
        <v>Maximum in-plane screw action on single lower screw</v>
      </c>
      <c r="H86" s="81">
        <f>(((ABS(H14)/(H60*10^-3))+(H33/(H32+H33))*ABS(H7))*H31)/1000</f>
        <v>0</v>
      </c>
      <c r="I86" s="35"/>
      <c r="J86" s="35" t="s">
        <v>55</v>
      </c>
      <c r="K86" s="79"/>
      <c r="L86" t="s">
        <v>293</v>
      </c>
      <c r="R86" s="5"/>
      <c r="S86" s="5"/>
      <c r="T86" s="5"/>
      <c r="U86" s="56"/>
      <c r="V86" s="5"/>
      <c r="W86" s="5"/>
      <c r="X86" s="5"/>
      <c r="Y86" s="5"/>
      <c r="Z86" s="5"/>
      <c r="AA86" s="5"/>
      <c r="AB86" s="5"/>
      <c r="AC86" s="5" t="s">
        <v>291</v>
      </c>
      <c r="AD86" s="58">
        <f>AH81/AF81</f>
        <v>20</v>
      </c>
      <c r="AE86" s="5" t="s">
        <v>35</v>
      </c>
      <c r="AF86" s="5"/>
      <c r="AG86" s="5">
        <f>AF81</f>
        <v>40</v>
      </c>
      <c r="AH86" s="5" t="s">
        <v>113</v>
      </c>
      <c r="AI86" s="5"/>
      <c r="AJ86" s="5"/>
      <c r="AK86" s="5"/>
    </row>
    <row r="87" spans="4:37" ht="15" customHeight="1">
      <c r="D87" s="220"/>
      <c r="E87" s="35" t="s">
        <v>300</v>
      </c>
      <c r="F87" s="38"/>
      <c r="G87" s="38" t="str">
        <f>traduzioni!A114</f>
        <v>Maximum out-of-plane screw action on single top screw</v>
      </c>
      <c r="H87" s="81">
        <f>((H32/(H32+H33))*H8)*(H30/1000)</f>
        <v>0</v>
      </c>
      <c r="I87" s="35"/>
      <c r="J87" s="35" t="s">
        <v>55</v>
      </c>
      <c r="K87" s="79"/>
      <c r="L87" t="s">
        <v>294</v>
      </c>
      <c r="R87" s="5"/>
      <c r="S87" s="5"/>
      <c r="T87" s="5"/>
      <c r="U87" s="5"/>
      <c r="V87" s="5"/>
      <c r="W87" s="5"/>
      <c r="X87" s="5"/>
      <c r="Y87" s="5"/>
      <c r="Z87" s="5"/>
      <c r="AA87" s="5"/>
      <c r="AB87" s="5"/>
      <c r="AC87" s="5"/>
      <c r="AD87" s="58">
        <f>IF(AB69="T",AD86,IF(AI85=AG85,AD85,IF(AI85=AG86,AD86)))</f>
        <v>20</v>
      </c>
      <c r="AE87" s="5" t="s">
        <v>35</v>
      </c>
      <c r="AF87" s="5"/>
      <c r="AG87" s="5"/>
      <c r="AH87" s="5"/>
      <c r="AI87" s="5"/>
      <c r="AJ87" s="5"/>
      <c r="AK87" s="5"/>
    </row>
    <row r="88" spans="4:37" ht="15" customHeight="1">
      <c r="D88" s="220"/>
      <c r="E88" s="35" t="s">
        <v>301</v>
      </c>
      <c r="F88" s="38"/>
      <c r="G88" s="38" t="str">
        <f>traduzioni!A115</f>
        <v>Maximum out-of-plane screw action on single lower screw</v>
      </c>
      <c r="H88" s="81">
        <f>((H33/(H32+H33))*H8)*(H31/1000)</f>
        <v>0</v>
      </c>
      <c r="I88" s="35"/>
      <c r="J88" s="35" t="s">
        <v>55</v>
      </c>
      <c r="K88" s="79"/>
      <c r="L88" t="s">
        <v>295</v>
      </c>
      <c r="R88" s="5"/>
      <c r="S88" s="5"/>
      <c r="T88" s="59"/>
      <c r="U88" s="59"/>
      <c r="V88" s="59"/>
      <c r="W88" s="59"/>
      <c r="X88" s="60"/>
      <c r="Y88" s="60"/>
      <c r="Z88" s="60"/>
      <c r="AA88" s="60"/>
      <c r="AB88" s="5"/>
      <c r="AC88" s="5"/>
      <c r="AD88" s="5"/>
      <c r="AE88" s="5"/>
      <c r="AF88" s="5"/>
      <c r="AG88" s="5"/>
      <c r="AH88" s="5"/>
      <c r="AI88" s="5"/>
      <c r="AJ88" s="5"/>
      <c r="AK88" s="5"/>
    </row>
    <row r="89" spans="4:37" ht="15" customHeight="1">
      <c r="D89" s="220"/>
      <c r="E89" s="35" t="s">
        <v>303</v>
      </c>
      <c r="F89" s="38"/>
      <c r="G89" s="38" t="str">
        <f>traduzioni!A116</f>
        <v>Combined action on single upper screw</v>
      </c>
      <c r="H89" s="81">
        <f>(H85^2+H87^2)^0.5</f>
        <v>0</v>
      </c>
      <c r="I89" s="35"/>
      <c r="J89" s="35" t="s">
        <v>55</v>
      </c>
      <c r="K89" s="79"/>
      <c r="L89" t="s">
        <v>296</v>
      </c>
      <c r="R89" s="5"/>
      <c r="S89" s="5"/>
      <c r="T89" s="59"/>
      <c r="U89" s="59" t="s">
        <v>119</v>
      </c>
      <c r="V89" s="59"/>
      <c r="W89" s="59"/>
      <c r="X89" s="60"/>
      <c r="Y89" s="59" t="s">
        <v>119</v>
      </c>
      <c r="Z89" s="59"/>
      <c r="AA89" s="59"/>
      <c r="AB89" s="5"/>
      <c r="AC89" s="5"/>
      <c r="AD89" s="5"/>
      <c r="AE89" s="5"/>
      <c r="AF89" s="5"/>
      <c r="AG89" s="5"/>
      <c r="AH89" s="5"/>
      <c r="AI89" s="5"/>
      <c r="AJ89" s="5"/>
      <c r="AK89" s="5"/>
    </row>
    <row r="90" spans="4:37" ht="15" customHeight="1">
      <c r="D90" s="220"/>
      <c r="E90" s="35" t="s">
        <v>302</v>
      </c>
      <c r="F90" s="38"/>
      <c r="G90" s="38" t="str">
        <f>traduzioni!A117</f>
        <v>Combined action on single lower screw</v>
      </c>
      <c r="H90" s="81">
        <f>(H86^2+H88^2)^0.5</f>
        <v>0</v>
      </c>
      <c r="I90" s="35"/>
      <c r="J90" s="35" t="s">
        <v>55</v>
      </c>
      <c r="K90" s="79"/>
      <c r="L90" t="s">
        <v>297</v>
      </c>
      <c r="R90" s="5"/>
      <c r="S90" s="5"/>
      <c r="T90" s="59"/>
      <c r="U90" s="59" t="s">
        <v>118</v>
      </c>
      <c r="V90" s="61">
        <f>V92+V93+V94</f>
        <v>35.709732556393334</v>
      </c>
      <c r="W90" s="59" t="s">
        <v>35</v>
      </c>
      <c r="X90" s="60"/>
      <c r="Y90" s="59" t="s">
        <v>118</v>
      </c>
      <c r="Z90" s="61">
        <f>V92+V93+V94</f>
        <v>35.709732556393334</v>
      </c>
      <c r="AA90" s="59" t="s">
        <v>35</v>
      </c>
      <c r="AB90" s="5"/>
      <c r="AC90" s="5"/>
      <c r="AD90" s="5"/>
      <c r="AE90" s="5"/>
      <c r="AF90" s="5"/>
      <c r="AG90" s="5"/>
      <c r="AH90" s="5"/>
      <c r="AI90" s="5"/>
      <c r="AJ90" s="5"/>
      <c r="AK90" s="5"/>
    </row>
    <row r="91" spans="4:37" ht="15" customHeight="1">
      <c r="D91" s="221"/>
      <c r="E91" s="73"/>
      <c r="F91" s="74"/>
      <c r="G91" s="74" t="str">
        <f>traduzioni!A118</f>
        <v>Maximum shear action</v>
      </c>
      <c r="H91" s="95">
        <f>MAX(H90,H89)</f>
        <v>0</v>
      </c>
      <c r="I91" s="73"/>
      <c r="J91" s="73" t="s">
        <v>55</v>
      </c>
      <c r="K91" s="80"/>
      <c r="R91" s="5"/>
      <c r="S91" s="5"/>
      <c r="T91" s="59"/>
      <c r="U91" s="59"/>
      <c r="V91" s="61"/>
      <c r="W91" s="59"/>
      <c r="X91" s="60"/>
      <c r="Y91" s="59"/>
      <c r="Z91" s="61"/>
      <c r="AA91" s="59"/>
      <c r="AB91" s="5"/>
      <c r="AC91" s="5"/>
      <c r="AD91" s="5"/>
      <c r="AE91" s="5"/>
      <c r="AF91" s="5"/>
      <c r="AG91" s="5"/>
      <c r="AH91" s="5"/>
      <c r="AI91" s="5"/>
      <c r="AJ91" s="5"/>
      <c r="AK91" s="5"/>
    </row>
    <row r="92" spans="4:37" ht="15" customHeight="1">
      <c r="D92" s="29"/>
      <c r="E92" s="35"/>
      <c r="F92" s="38"/>
      <c r="G92" s="38"/>
      <c r="H92" s="35"/>
      <c r="I92" s="35"/>
      <c r="J92" s="35"/>
      <c r="K92" s="38"/>
      <c r="R92" s="5"/>
      <c r="S92" s="5"/>
      <c r="T92" s="59"/>
      <c r="U92" s="59" t="s">
        <v>117</v>
      </c>
      <c r="V92" s="59">
        <f>Y70</f>
        <v>40</v>
      </c>
      <c r="W92" s="59" t="s">
        <v>35</v>
      </c>
      <c r="X92" s="60"/>
      <c r="Y92" s="59" t="s">
        <v>117</v>
      </c>
      <c r="Z92" s="59">
        <f>Y70</f>
        <v>40</v>
      </c>
      <c r="AA92" s="59" t="s">
        <v>35</v>
      </c>
      <c r="AB92" s="5"/>
      <c r="AC92" s="5"/>
      <c r="AD92" s="5"/>
      <c r="AE92" s="5"/>
      <c r="AF92" s="5"/>
      <c r="AG92" s="5"/>
      <c r="AH92" s="5"/>
      <c r="AI92" s="5"/>
      <c r="AJ92" s="5"/>
      <c r="AK92" s="5"/>
    </row>
    <row r="93" spans="4:37" ht="15" customHeight="1">
      <c r="D93" s="219" t="str">
        <f>traduzioni!A122</f>
        <v>Verifications</v>
      </c>
      <c r="E93" s="70" t="s">
        <v>169</v>
      </c>
      <c r="F93" s="71"/>
      <c r="G93" s="71" t="str">
        <f>traduzioni!A123</f>
        <v>Single screw axial capacity timber/steel side</v>
      </c>
      <c r="H93" s="84">
        <f>SCREWS!I34</f>
        <v>15.619848046965735</v>
      </c>
      <c r="I93" s="84"/>
      <c r="J93" s="70" t="s">
        <v>55</v>
      </c>
      <c r="K93" s="75"/>
      <c r="R93" s="5"/>
      <c r="S93" s="5"/>
      <c r="T93" s="59"/>
      <c r="U93" s="59" t="s">
        <v>116</v>
      </c>
      <c r="V93" s="59">
        <f>Y71</f>
        <v>40</v>
      </c>
      <c r="W93" s="59" t="s">
        <v>35</v>
      </c>
      <c r="X93" s="60"/>
      <c r="Y93" s="59" t="s">
        <v>116</v>
      </c>
      <c r="Z93" s="59">
        <f>Y71</f>
        <v>40</v>
      </c>
      <c r="AA93" s="59" t="s">
        <v>35</v>
      </c>
      <c r="AB93" s="5"/>
      <c r="AC93" s="5"/>
      <c r="AD93" s="5"/>
      <c r="AE93" s="5"/>
      <c r="AF93" s="5"/>
      <c r="AG93" s="5"/>
      <c r="AH93" s="5"/>
      <c r="AI93" s="5"/>
      <c r="AJ93" s="5"/>
      <c r="AK93" s="5"/>
    </row>
    <row r="94" spans="4:37" ht="15" customHeight="1">
      <c r="D94" s="220"/>
      <c r="E94" s="35" t="s">
        <v>170</v>
      </c>
      <c r="F94" s="38"/>
      <c r="G94" s="38" t="str">
        <f>traduzioni!A124</f>
        <v>Single screw shear capacity</v>
      </c>
      <c r="H94" s="81">
        <f>SCREWS!D48*(H28/H29)</f>
        <v>4.209713784863423</v>
      </c>
      <c r="I94" s="35"/>
      <c r="J94" s="35" t="s">
        <v>55</v>
      </c>
      <c r="K94" s="79"/>
      <c r="R94" s="5"/>
      <c r="S94" s="5"/>
      <c r="T94" s="59"/>
      <c r="U94" s="59" t="s">
        <v>114</v>
      </c>
      <c r="V94" s="61">
        <f>(H56-Y70-Y71)-((H56-Y70-Y71)^2+2*Y70*(H56-Y70/2)-(2*H73*1000*1000/1000/H48))^0.5</f>
        <v>-44.290267443606666</v>
      </c>
      <c r="W94" s="59" t="s">
        <v>35</v>
      </c>
      <c r="X94" s="60"/>
      <c r="Y94" s="59" t="s">
        <v>114</v>
      </c>
      <c r="Z94" s="61">
        <f>Y73</f>
        <v>40</v>
      </c>
      <c r="AA94" s="59" t="s">
        <v>35</v>
      </c>
      <c r="AB94" s="5"/>
      <c r="AC94" s="5"/>
      <c r="AD94" s="5"/>
      <c r="AE94" s="5"/>
      <c r="AF94" s="5"/>
      <c r="AG94" s="5"/>
      <c r="AH94" s="5"/>
      <c r="AI94" s="5"/>
      <c r="AJ94" s="5"/>
      <c r="AK94" s="5"/>
    </row>
    <row r="95" spans="4:37" ht="15" customHeight="1">
      <c r="D95" s="220"/>
      <c r="E95" s="96" t="s">
        <v>141</v>
      </c>
      <c r="F95" s="38"/>
      <c r="G95" s="97" t="str">
        <f>traduzioni!A125</f>
        <v>Axial stress work ratio</v>
      </c>
      <c r="H95" s="98">
        <f>(H83/H93)*100</f>
        <v>71.525776494621226</v>
      </c>
      <c r="I95" s="81"/>
      <c r="J95" s="35" t="s">
        <v>102</v>
      </c>
      <c r="K95" s="79" t="str">
        <f>IF(H95&lt;100,"OK","NO")</f>
        <v>OK</v>
      </c>
      <c r="L95" t="s">
        <v>224</v>
      </c>
      <c r="T95" s="6"/>
      <c r="U95" s="59"/>
      <c r="V95" s="59"/>
      <c r="W95" s="59"/>
      <c r="X95" s="60"/>
      <c r="Y95" s="59" t="s">
        <v>120</v>
      </c>
      <c r="Z95" s="61">
        <f>(H56-Y71-Y72)-((++(H56-Y71-Y72)^2+2*Y71*(H56-Y71/2)-(2*H73*1000*1000/1000/H48))^0.5)</f>
        <v>-41.935817862709229</v>
      </c>
      <c r="AA95" s="59" t="s">
        <v>35</v>
      </c>
      <c r="AB95" s="5"/>
      <c r="AC95" s="5"/>
      <c r="AD95" s="5"/>
      <c r="AE95" s="5"/>
      <c r="AF95" s="5"/>
      <c r="AG95" s="5"/>
      <c r="AH95" s="5"/>
      <c r="AI95" s="5"/>
      <c r="AJ95" s="5"/>
      <c r="AK95" s="5"/>
    </row>
    <row r="96" spans="4:37" ht="15" customHeight="1">
      <c r="D96" s="220"/>
      <c r="E96" s="96" t="s">
        <v>141</v>
      </c>
      <c r="F96" s="38"/>
      <c r="G96" s="97" t="str">
        <f>traduzioni!A126</f>
        <v>Shear stress work ratio</v>
      </c>
      <c r="H96" s="99">
        <f>(H91/H94)*100</f>
        <v>0</v>
      </c>
      <c r="I96" s="35"/>
      <c r="J96" s="35" t="s">
        <v>102</v>
      </c>
      <c r="K96" s="79" t="str">
        <f t="shared" ref="K96" si="8">IF(H96&lt;100,"OK","NO")</f>
        <v>OK</v>
      </c>
      <c r="L96" t="s">
        <v>225</v>
      </c>
      <c r="Q96" s="7"/>
      <c r="U96" s="5"/>
      <c r="V96" s="5"/>
      <c r="W96" s="5"/>
      <c r="X96" s="5"/>
      <c r="Y96" s="5"/>
      <c r="Z96" s="5"/>
      <c r="AA96" s="5"/>
      <c r="AB96" s="5"/>
      <c r="AC96" s="5"/>
      <c r="AD96" s="5"/>
      <c r="AE96" s="5"/>
      <c r="AF96" s="5"/>
      <c r="AG96" s="5"/>
      <c r="AH96" s="5"/>
      <c r="AI96" s="5"/>
      <c r="AJ96" s="5"/>
      <c r="AK96" s="5"/>
    </row>
    <row r="97" spans="4:37" ht="15" customHeight="1">
      <c r="D97" s="221"/>
      <c r="E97" s="100" t="s">
        <v>141</v>
      </c>
      <c r="F97" s="74"/>
      <c r="G97" s="101" t="str">
        <f>traduzioni!A127</f>
        <v>Combined shear-axial working ratio</v>
      </c>
      <c r="H97" s="102">
        <f>((H95/100)^2+(H96/100)^2)*100</f>
        <v>51.159367031585113</v>
      </c>
      <c r="I97" s="73"/>
      <c r="J97" s="73" t="s">
        <v>102</v>
      </c>
      <c r="K97" s="80" t="str">
        <f>IF(H97&lt;100,"OK","NO")</f>
        <v>OK</v>
      </c>
      <c r="L97" t="s">
        <v>226</v>
      </c>
      <c r="Q97" s="8"/>
      <c r="U97" s="5"/>
      <c r="V97" s="5"/>
      <c r="W97" s="5"/>
      <c r="X97" s="5"/>
      <c r="Y97" s="5"/>
      <c r="Z97" s="5"/>
      <c r="AA97" s="5"/>
      <c r="AB97" s="5"/>
      <c r="AC97" s="5"/>
      <c r="AD97" s="5"/>
      <c r="AE97" s="5"/>
      <c r="AF97" s="5"/>
      <c r="AG97" s="5"/>
      <c r="AH97" s="5"/>
      <c r="AI97" s="5"/>
      <c r="AJ97" s="5"/>
      <c r="AK97" s="5"/>
    </row>
    <row r="98" spans="4:37" ht="15" customHeight="1">
      <c r="D98" s="29"/>
      <c r="E98" s="35"/>
      <c r="F98" s="38"/>
      <c r="G98" s="38"/>
      <c r="H98" s="35"/>
      <c r="I98" s="35"/>
      <c r="J98" s="35"/>
      <c r="K98" s="38"/>
      <c r="U98" s="5"/>
      <c r="V98" s="5"/>
      <c r="W98" s="5"/>
      <c r="X98" s="5"/>
      <c r="Y98" s="5"/>
      <c r="Z98" s="5"/>
      <c r="AA98" s="5"/>
      <c r="AB98" s="5"/>
      <c r="AC98" s="5"/>
      <c r="AD98" s="5"/>
      <c r="AE98" s="5"/>
      <c r="AF98" s="5"/>
      <c r="AG98" s="5"/>
      <c r="AH98" s="5"/>
      <c r="AI98" s="5"/>
      <c r="AJ98" s="5"/>
      <c r="AK98" s="5"/>
    </row>
    <row r="99" spans="4:37" ht="15" customHeight="1">
      <c r="D99" s="243" t="str">
        <f>traduzioni!A128</f>
        <v>Concrete side anchorage verification</v>
      </c>
      <c r="E99" s="70" t="s">
        <v>136</v>
      </c>
      <c r="F99" s="71"/>
      <c r="G99" s="71" t="str">
        <f>traduzioni!A129</f>
        <v>Required anchor length</v>
      </c>
      <c r="H99" s="94">
        <f>H83*1000/(H24*PI()*(H49/CONCRETE!H26))</f>
        <v>38.795207057354006</v>
      </c>
      <c r="I99" s="94"/>
      <c r="J99" s="70" t="s">
        <v>35</v>
      </c>
      <c r="K99" s="75"/>
      <c r="L99" t="s">
        <v>341</v>
      </c>
      <c r="U99" s="5"/>
      <c r="V99" s="5"/>
      <c r="W99" s="5"/>
      <c r="X99" s="5"/>
      <c r="Y99" s="5"/>
      <c r="Z99" s="5"/>
      <c r="AA99" s="5"/>
      <c r="AB99" s="5"/>
      <c r="AC99" s="5"/>
      <c r="AD99" s="5"/>
      <c r="AE99" s="5"/>
      <c r="AF99" s="5"/>
      <c r="AG99" s="5"/>
      <c r="AH99" s="5"/>
      <c r="AI99" s="5"/>
      <c r="AJ99" s="5"/>
      <c r="AK99" s="5"/>
    </row>
    <row r="100" spans="4:37" ht="15" customHeight="1">
      <c r="D100" s="244"/>
      <c r="E100" s="35" t="s">
        <v>138</v>
      </c>
      <c r="F100" s="38"/>
      <c r="G100" s="38" t="str">
        <f>traduzioni!A130</f>
        <v>Minimum anchor length</v>
      </c>
      <c r="H100" s="82">
        <f>H99*(H83/H93)</f>
        <v>27.748573090468547</v>
      </c>
      <c r="I100" s="82"/>
      <c r="J100" s="35" t="s">
        <v>35</v>
      </c>
      <c r="K100" s="79"/>
      <c r="L100" t="s">
        <v>339</v>
      </c>
      <c r="U100" s="5"/>
      <c r="V100" s="5"/>
      <c r="W100" s="5"/>
      <c r="X100" s="5"/>
      <c r="Y100" s="5"/>
      <c r="Z100" s="5"/>
      <c r="AA100" s="5"/>
      <c r="AB100" s="5"/>
      <c r="AC100" s="5"/>
      <c r="AD100" s="5"/>
      <c r="AE100" s="5"/>
      <c r="AF100" s="5"/>
      <c r="AG100" s="5"/>
      <c r="AH100" s="5"/>
      <c r="AI100" s="5"/>
      <c r="AJ100" s="5"/>
      <c r="AK100" s="5"/>
    </row>
    <row r="101" spans="4:37" ht="15" customHeight="1">
      <c r="D101" s="244"/>
      <c r="E101" s="35"/>
      <c r="F101" s="38"/>
      <c r="G101" s="38" t="str">
        <f>traduzioni!A131</f>
        <v>Effective length</v>
      </c>
      <c r="H101" s="35">
        <f>H57</f>
        <v>180</v>
      </c>
      <c r="I101" s="35"/>
      <c r="J101" s="35" t="s">
        <v>35</v>
      </c>
      <c r="K101" s="79"/>
      <c r="U101" s="5"/>
      <c r="V101" s="5"/>
      <c r="W101" s="5"/>
      <c r="X101" s="5"/>
      <c r="Y101" s="5"/>
      <c r="Z101" s="5"/>
      <c r="AA101" s="5"/>
      <c r="AB101" s="5"/>
      <c r="AC101" s="5"/>
      <c r="AD101" s="5"/>
      <c r="AE101" s="5"/>
      <c r="AF101" s="5"/>
      <c r="AG101" s="5"/>
      <c r="AH101" s="5"/>
      <c r="AI101" s="5"/>
      <c r="AJ101" s="5"/>
      <c r="AK101" s="5"/>
    </row>
    <row r="102" spans="4:37" ht="15" customHeight="1">
      <c r="D102" s="244"/>
      <c r="E102" s="35" t="s">
        <v>139</v>
      </c>
      <c r="F102" s="38"/>
      <c r="G102" s="38" t="str">
        <f>traduzioni!A132</f>
        <v>Anchorage length</v>
      </c>
      <c r="H102" s="35">
        <f>MAX(9*H24,100)</f>
        <v>100</v>
      </c>
      <c r="I102" s="35"/>
      <c r="J102" s="35" t="s">
        <v>35</v>
      </c>
      <c r="K102" s="79"/>
    </row>
    <row r="103" spans="4:37" ht="15" customHeight="1">
      <c r="D103" s="244"/>
      <c r="E103" s="96" t="s">
        <v>141</v>
      </c>
      <c r="F103" s="38"/>
      <c r="G103" s="97" t="str">
        <f>traduzioni!A133</f>
        <v>Degree of utilization</v>
      </c>
      <c r="H103" s="98">
        <f>(H102/H101)*100</f>
        <v>55.555555555555557</v>
      </c>
      <c r="I103" s="81"/>
      <c r="J103" s="35" t="s">
        <v>102</v>
      </c>
      <c r="K103" s="79" t="str">
        <f>IF(H103&lt;100,"OK","NO")</f>
        <v>OK</v>
      </c>
      <c r="L103" t="s">
        <v>227</v>
      </c>
    </row>
    <row r="104" spans="4:37" ht="15" customHeight="1">
      <c r="D104" s="244"/>
      <c r="E104" s="35"/>
      <c r="F104" s="38"/>
      <c r="G104" s="38"/>
      <c r="H104" s="35"/>
      <c r="I104" s="35"/>
      <c r="J104" s="35"/>
      <c r="K104" s="79"/>
    </row>
    <row r="105" spans="4:37" ht="15" customHeight="1">
      <c r="D105" s="244"/>
      <c r="E105" s="35" t="s">
        <v>143</v>
      </c>
      <c r="F105" s="38"/>
      <c r="G105" s="38" t="str">
        <f>traduzioni!A134</f>
        <v>Overlap length</v>
      </c>
      <c r="H105" s="81">
        <f>1.5*H100</f>
        <v>41.622859635702824</v>
      </c>
      <c r="I105" s="81"/>
      <c r="J105" s="35" t="s">
        <v>35</v>
      </c>
      <c r="K105" s="79"/>
    </row>
    <row r="106" spans="4:37" ht="15" customHeight="1">
      <c r="D106" s="244"/>
      <c r="E106" s="35" t="s">
        <v>144</v>
      </c>
      <c r="F106" s="38"/>
      <c r="G106" s="38" t="str">
        <f>traduzioni!A135</f>
        <v>Minimum overlap length</v>
      </c>
      <c r="H106" s="35">
        <f>MAX(14*H24,150)</f>
        <v>154</v>
      </c>
      <c r="I106" s="35"/>
      <c r="J106" s="35" t="s">
        <v>35</v>
      </c>
      <c r="K106" s="79"/>
      <c r="L106" t="s">
        <v>339</v>
      </c>
    </row>
    <row r="107" spans="4:37" ht="15" customHeight="1">
      <c r="D107" s="244"/>
      <c r="E107" s="35"/>
      <c r="F107" s="38"/>
      <c r="G107" s="38" t="str">
        <f>traduzioni!A136</f>
        <v>Effective length</v>
      </c>
      <c r="H107" s="35">
        <f>H54</f>
        <v>160</v>
      </c>
      <c r="I107" s="35"/>
      <c r="J107" s="35" t="s">
        <v>35</v>
      </c>
      <c r="K107" s="79"/>
    </row>
    <row r="108" spans="4:37" ht="15" customHeight="1">
      <c r="D108" s="245"/>
      <c r="E108" s="100" t="s">
        <v>146</v>
      </c>
      <c r="F108" s="74"/>
      <c r="G108" s="101" t="str">
        <f>traduzioni!A137</f>
        <v>Degree of utilization</v>
      </c>
      <c r="H108" s="102">
        <f>(H106/H107)*100</f>
        <v>96.25</v>
      </c>
      <c r="I108" s="95"/>
      <c r="J108" s="73" t="s">
        <v>102</v>
      </c>
      <c r="K108" s="80" t="str">
        <f>IF(H108&lt;100,"OK","NO")</f>
        <v>OK</v>
      </c>
      <c r="L108" t="s">
        <v>227</v>
      </c>
    </row>
    <row r="109" spans="4:37" ht="15" customHeight="1">
      <c r="D109" s="87"/>
      <c r="E109" s="103"/>
      <c r="F109" s="38"/>
      <c r="G109" s="38"/>
      <c r="H109" s="81"/>
      <c r="I109" s="81"/>
      <c r="J109" s="35"/>
      <c r="K109" s="38"/>
    </row>
    <row r="110" spans="4:37" ht="15" customHeight="1">
      <c r="D110" s="219" t="str">
        <f>traduzioni!A138</f>
        <v>Shear and bending stiffness</v>
      </c>
      <c r="E110" s="70" t="s">
        <v>252</v>
      </c>
      <c r="F110" s="71"/>
      <c r="G110" s="71" t="str">
        <f>traduzioni!A139</f>
        <v>Shear stiffness</v>
      </c>
      <c r="H110" s="94">
        <f>((H32+H33)*SCREWS!D53)/2</f>
        <v>19283.483171659776</v>
      </c>
      <c r="I110" s="84"/>
      <c r="J110" s="70" t="s">
        <v>276</v>
      </c>
      <c r="K110" s="75"/>
      <c r="L110" t="s">
        <v>277</v>
      </c>
    </row>
    <row r="111" spans="4:37" ht="15" customHeight="1">
      <c r="D111" s="220"/>
      <c r="E111" s="35"/>
      <c r="F111" s="38"/>
      <c r="G111" s="38"/>
      <c r="H111" s="35"/>
      <c r="I111" s="35"/>
      <c r="J111" s="35"/>
      <c r="K111" s="79"/>
    </row>
    <row r="112" spans="4:37" ht="15" customHeight="1">
      <c r="D112" s="220"/>
      <c r="E112" s="35"/>
      <c r="F112" s="38"/>
      <c r="G112" s="88" t="str">
        <f>traduzioni!A140</f>
        <v>first layer</v>
      </c>
      <c r="H112" s="38">
        <f>IF(H20="L",Y70,IF(H20="T",Y71))</f>
        <v>40</v>
      </c>
      <c r="I112" s="35"/>
      <c r="J112" s="35" t="s">
        <v>35</v>
      </c>
      <c r="K112" s="79"/>
    </row>
    <row r="113" spans="4:20" ht="15" customHeight="1">
      <c r="D113" s="220"/>
      <c r="E113" s="35"/>
      <c r="F113" s="38"/>
      <c r="G113" s="88" t="str">
        <f>traduzioni!A141</f>
        <v>25% thickness</v>
      </c>
      <c r="H113" s="38">
        <f>IF(AND(GEOMETRY!H34="T",H19=160),0.25*(H19-Y70),IF(GEOMETRY!H34="T",0.25*H19-Y70,0.25*H19))</f>
        <v>65</v>
      </c>
      <c r="I113" s="35"/>
      <c r="J113" s="35" t="s">
        <v>35</v>
      </c>
      <c r="K113" s="79"/>
      <c r="T113" t="s">
        <v>255</v>
      </c>
    </row>
    <row r="114" spans="4:20" ht="15" customHeight="1">
      <c r="D114" s="220"/>
      <c r="E114" s="35"/>
      <c r="F114" s="38"/>
      <c r="G114" s="88" t="str">
        <f>traduzioni!A142</f>
        <v>a_t(25%)</v>
      </c>
      <c r="H114" s="89">
        <f>AD87</f>
        <v>20</v>
      </c>
      <c r="I114" s="35"/>
      <c r="J114" s="35"/>
      <c r="K114" s="79"/>
    </row>
    <row r="115" spans="4:20" ht="15" customHeight="1">
      <c r="D115" s="220"/>
      <c r="E115" s="35"/>
      <c r="F115" s="38"/>
      <c r="G115" s="38"/>
      <c r="H115" s="35"/>
      <c r="I115" s="35"/>
      <c r="J115" s="35"/>
      <c r="K115" s="79"/>
    </row>
    <row r="116" spans="4:20" ht="15" customHeight="1">
      <c r="D116" s="220"/>
      <c r="E116" s="35" t="s">
        <v>254</v>
      </c>
      <c r="F116" s="38"/>
      <c r="G116" s="38" t="str">
        <f>traduzioni!A143</f>
        <v>Compressed length calculation by stiffness</v>
      </c>
      <c r="H116" s="82">
        <f>MIN(H112,H113)</f>
        <v>40</v>
      </c>
      <c r="I116" s="35"/>
      <c r="J116" s="35" t="s">
        <v>35</v>
      </c>
      <c r="K116" s="79"/>
    </row>
    <row r="117" spans="4:20" ht="15" customHeight="1">
      <c r="D117" s="220"/>
      <c r="E117" s="35" t="s">
        <v>258</v>
      </c>
      <c r="F117" s="38"/>
      <c r="G117" s="38" t="str">
        <f>traduzioni!A144</f>
        <v>Lever arm</v>
      </c>
      <c r="H117" s="82">
        <f>IF(GEOMETRY!H34="T",H56-Y70-H116/2,H56-H116/2)</f>
        <v>195</v>
      </c>
      <c r="I117" s="35"/>
      <c r="J117" s="35" t="s">
        <v>35</v>
      </c>
      <c r="K117" s="79"/>
    </row>
    <row r="118" spans="4:20" ht="15" customHeight="1">
      <c r="D118" s="220"/>
      <c r="E118" s="35" t="s">
        <v>260</v>
      </c>
      <c r="F118" s="38"/>
      <c r="G118" s="38" t="str">
        <f>traduzioni!A145</f>
        <v>Reference bending moment</v>
      </c>
      <c r="H118" s="82">
        <v>1000</v>
      </c>
      <c r="I118" s="35"/>
      <c r="J118" s="35" t="s">
        <v>261</v>
      </c>
      <c r="K118" s="79"/>
    </row>
    <row r="119" spans="4:20" ht="15" customHeight="1">
      <c r="D119" s="220"/>
      <c r="E119" s="35" t="s">
        <v>259</v>
      </c>
      <c r="F119" s="38"/>
      <c r="G119" s="38" t="str">
        <f>traduzioni!A146</f>
        <v>Reference force on screws</v>
      </c>
      <c r="H119" s="82">
        <f>H118/(H117/1000)</f>
        <v>5128.2051282051279</v>
      </c>
      <c r="I119" s="35"/>
      <c r="J119" s="35" t="s">
        <v>278</v>
      </c>
      <c r="K119" s="79"/>
      <c r="L119" t="s">
        <v>346</v>
      </c>
    </row>
    <row r="120" spans="4:20" ht="15" customHeight="1">
      <c r="D120" s="220"/>
      <c r="E120" s="35" t="s">
        <v>268</v>
      </c>
      <c r="F120" s="38"/>
      <c r="G120" s="38" t="str">
        <f>traduzioni!A147</f>
        <v>Reference width</v>
      </c>
      <c r="H120" s="82">
        <v>1000</v>
      </c>
      <c r="I120" s="35"/>
      <c r="J120" s="35" t="s">
        <v>35</v>
      </c>
      <c r="K120" s="79"/>
    </row>
    <row r="121" spans="4:20" ht="15" customHeight="1">
      <c r="D121" s="220"/>
      <c r="E121" s="35" t="s">
        <v>263</v>
      </c>
      <c r="F121" s="38"/>
      <c r="G121" s="38" t="str">
        <f>traduzioni!A148</f>
        <v>Compressive stiffness</v>
      </c>
      <c r="H121" s="82">
        <f>CLT!N15*H120/4</f>
        <v>2875000</v>
      </c>
      <c r="I121" s="35"/>
      <c r="J121" s="35" t="s">
        <v>278</v>
      </c>
      <c r="K121" s="79"/>
      <c r="L121" t="s">
        <v>347</v>
      </c>
    </row>
    <row r="122" spans="4:20" ht="15" customHeight="1">
      <c r="D122" s="220"/>
      <c r="E122" s="35" t="s">
        <v>270</v>
      </c>
      <c r="F122" s="38"/>
      <c r="G122" s="38" t="str">
        <f>traduzioni!A149</f>
        <v>Axial stiffness</v>
      </c>
      <c r="H122" s="82">
        <f>(25*SCREWS!E23*MIN(20*SCREWS!E23,SCREWS!I30))*(H32+H33)/2</f>
        <v>302500</v>
      </c>
      <c r="I122" s="35"/>
      <c r="J122" s="35" t="s">
        <v>276</v>
      </c>
      <c r="K122" s="79"/>
      <c r="L122" t="s">
        <v>348</v>
      </c>
    </row>
    <row r="123" spans="4:20" ht="15" customHeight="1">
      <c r="D123" s="220"/>
      <c r="E123" s="35" t="s">
        <v>281</v>
      </c>
      <c r="F123" s="38"/>
      <c r="G123" s="38" t="str">
        <f>traduzioni!A150</f>
        <v>Screws in tension area</v>
      </c>
      <c r="H123" s="82">
        <f>IF(H10="POS",H33,IF(H10="NEG",H32))</f>
        <v>5</v>
      </c>
      <c r="I123" s="35"/>
      <c r="J123" s="35" t="s">
        <v>275</v>
      </c>
      <c r="K123" s="79"/>
    </row>
    <row r="124" spans="4:20" ht="15" customHeight="1">
      <c r="D124" s="220"/>
      <c r="E124" s="35"/>
      <c r="F124" s="38"/>
      <c r="G124" s="38"/>
      <c r="H124" s="82"/>
      <c r="I124" s="35"/>
      <c r="J124" s="35"/>
      <c r="K124" s="79"/>
    </row>
    <row r="125" spans="4:20" ht="15" customHeight="1">
      <c r="D125" s="220"/>
      <c r="E125" s="35" t="s">
        <v>280</v>
      </c>
      <c r="F125" s="38"/>
      <c r="G125" s="38" t="str">
        <f>traduzioni!A151</f>
        <v>Deformation of the compressed zone</v>
      </c>
      <c r="H125" s="90">
        <f>H119/H121</f>
        <v>1.7837235228539575E-3</v>
      </c>
      <c r="I125" s="35"/>
      <c r="J125" s="35" t="s">
        <v>35</v>
      </c>
      <c r="K125" s="79"/>
      <c r="L125" t="s">
        <v>351</v>
      </c>
    </row>
    <row r="126" spans="4:20" ht="15" customHeight="1">
      <c r="D126" s="220"/>
      <c r="E126" s="35" t="s">
        <v>279</v>
      </c>
      <c r="F126" s="38"/>
      <c r="G126" s="38" t="str">
        <f>traduzioni!A152</f>
        <v>Deformation of fasteners</v>
      </c>
      <c r="H126" s="90">
        <f>(H119)/((H122*2/(H32+H33))*H123)</f>
        <v>1.6952744225471498E-2</v>
      </c>
      <c r="I126" s="35"/>
      <c r="J126" s="35" t="s">
        <v>35</v>
      </c>
      <c r="K126" s="79"/>
      <c r="L126" t="s">
        <v>352</v>
      </c>
    </row>
    <row r="127" spans="4:20" ht="15" customHeight="1">
      <c r="D127" s="220"/>
      <c r="E127" s="35"/>
      <c r="F127" s="38"/>
      <c r="G127" s="38"/>
      <c r="H127" s="82"/>
      <c r="I127" s="35"/>
      <c r="J127" s="35"/>
      <c r="K127" s="241" t="str">
        <f>traduzioni!A222</f>
        <v>(*) double the stiffness in case of non-symmetrical connection with single plane of connection</v>
      </c>
    </row>
    <row r="128" spans="4:20" ht="15" customHeight="1">
      <c r="D128" s="220"/>
      <c r="E128" s="104" t="s">
        <v>283</v>
      </c>
      <c r="F128" s="38"/>
      <c r="G128" s="38" t="str">
        <f>traduzioni!A153</f>
        <v>Unit angle of rotation</v>
      </c>
      <c r="H128" s="187">
        <f>ATAN((ABS(H126)+ABS(H125))/(H117))</f>
        <v>9.608444969572163E-5</v>
      </c>
      <c r="I128" s="35"/>
      <c r="J128" s="35" t="s">
        <v>1426</v>
      </c>
      <c r="K128" s="241"/>
      <c r="L128" t="s">
        <v>350</v>
      </c>
    </row>
    <row r="129" spans="4:12" ht="15" customHeight="1">
      <c r="D129" s="221"/>
      <c r="E129" s="73" t="s">
        <v>285</v>
      </c>
      <c r="F129" s="74"/>
      <c r="G129" s="74" t="str">
        <f>traduzioni!A154</f>
        <v>Rotational stiffness (*)</v>
      </c>
      <c r="H129" s="91">
        <f>H118/(2*H128*1000)</f>
        <v>5203.7556710101398</v>
      </c>
      <c r="I129" s="73"/>
      <c r="J129" s="73" t="s">
        <v>1425</v>
      </c>
      <c r="K129" s="242"/>
      <c r="L129" t="s">
        <v>349</v>
      </c>
    </row>
    <row r="130" spans="4:12" ht="15" customHeight="1">
      <c r="G130" s="38"/>
      <c r="H130" s="188"/>
    </row>
    <row r="131" spans="4:12" ht="15" customHeight="1">
      <c r="G131" s="38"/>
    </row>
    <row r="132" spans="4:12" ht="15" customHeight="1"/>
    <row r="133" spans="4:12" ht="15" customHeight="1"/>
    <row r="134" spans="4:12" ht="15" customHeight="1"/>
    <row r="135" spans="4:12" ht="15" customHeight="1"/>
    <row r="136" spans="4:12" ht="15" customHeight="1"/>
    <row r="137" spans="4:12" ht="15" customHeight="1"/>
    <row r="138" spans="4:12" ht="15" customHeight="1"/>
    <row r="139" spans="4:12" ht="15" customHeight="1"/>
  </sheetData>
  <sheetProtection algorithmName="SHA-512" hashValue="hU2wfTuwDvgyZCVOFf0twz43GE2d6EBV6uzCCraZ43rzJlvhh6H1mpDmXys7V0PPU0+tPcLoatWmAQet//+1Gg==" saltValue="PC5jz8eIcWSDRI+UbWpNCw==" spinCount="100000" sheet="1" objects="1" scenarios="1" selectLockedCells="1"/>
  <mergeCells count="16">
    <mergeCell ref="D110:D129"/>
    <mergeCell ref="AB69:AE69"/>
    <mergeCell ref="D2:D14"/>
    <mergeCell ref="H18:K18"/>
    <mergeCell ref="D99:D108"/>
    <mergeCell ref="D93:D97"/>
    <mergeCell ref="D82:D91"/>
    <mergeCell ref="D73:D80"/>
    <mergeCell ref="D52:D59"/>
    <mergeCell ref="D46:D50"/>
    <mergeCell ref="D36:D44"/>
    <mergeCell ref="D16:D20"/>
    <mergeCell ref="D22:D33"/>
    <mergeCell ref="E63:J67"/>
    <mergeCell ref="K82:K84"/>
    <mergeCell ref="K127:K129"/>
  </mergeCells>
  <phoneticPr fontId="3" type="noConversion"/>
  <conditionalFormatting sqref="H76:H79">
    <cfRule type="expression" dxfId="13" priority="12">
      <formula>IF($H$20="C",TRUE)</formula>
    </cfRule>
  </conditionalFormatting>
  <conditionalFormatting sqref="K1:K62 K72:K82 K85:K126 K130:K1048576">
    <cfRule type="containsText" dxfId="12" priority="1" operator="containsText" text="NO">
      <formula>NOT(ISERROR(SEARCH("NO",K1)))</formula>
    </cfRule>
    <cfRule type="containsText" dxfId="11" priority="2" operator="containsText" text="OK">
      <formula>NOT(ISERROR(SEARCH("OK",K1)))</formula>
    </cfRule>
  </conditionalFormatting>
  <conditionalFormatting sqref="S35:S37">
    <cfRule type="cellIs" dxfId="10" priority="11" operator="lessThanOrEqual">
      <formula>MIN($S$35,$S$36,$S$37)</formula>
    </cfRule>
  </conditionalFormatting>
  <conditionalFormatting sqref="S39:S40">
    <cfRule type="cellIs" dxfId="9" priority="7" operator="lessThanOrEqual">
      <formula>MIN($S$39,$S$40)</formula>
    </cfRule>
  </conditionalFormatting>
  <conditionalFormatting sqref="T35:T37">
    <cfRule type="cellIs" dxfId="8" priority="10" operator="lessThanOrEqual">
      <formula>MIN($T$35,$T$36,$T$37)</formula>
    </cfRule>
  </conditionalFormatting>
  <conditionalFormatting sqref="T39:T40">
    <cfRule type="cellIs" dxfId="7" priority="6" operator="lessThanOrEqual">
      <formula>MIN($T$39,$T$40)</formula>
    </cfRule>
  </conditionalFormatting>
  <conditionalFormatting sqref="U35:U37">
    <cfRule type="cellIs" dxfId="6" priority="8" operator="lessThanOrEqual">
      <formula>MIN($U$35,$U$36,$U$37)</formula>
    </cfRule>
  </conditionalFormatting>
  <conditionalFormatting sqref="U39:U40">
    <cfRule type="cellIs" dxfId="5" priority="5" operator="lessThanOrEqual">
      <formula>MIN($U$39,$U$40)</formula>
    </cfRule>
  </conditionalFormatting>
  <conditionalFormatting sqref="X41:X42">
    <cfRule type="containsText" dxfId="4" priority="3" operator="containsText" text="NO">
      <formula>NOT(ISERROR(SEARCH("NO",X41)))</formula>
    </cfRule>
    <cfRule type="containsText" dxfId="3" priority="4" operator="containsText" text="OK Annex E8">
      <formula>NOT(ISERROR(SEARCH("OK Annex E8",X41)))</formula>
    </cfRule>
  </conditionalFormatting>
  <dataValidations disablePrompts="1" count="6">
    <dataValidation type="list" allowBlank="1" showInputMessage="1" showErrorMessage="1" sqref="I37" xr:uid="{E3A39C38-5634-41F7-B0E1-EBD5FAE5C2AD}">
      <formula1>"5,6,8,10"</formula1>
    </dataValidation>
    <dataValidation type="list" allowBlank="1" showInputMessage="1" showErrorMessage="1" sqref="I38" xr:uid="{57364C22-C8BC-43A6-B42F-004E92216A21}">
      <formula1>"6,8,10,12,14,16,18,20"</formula1>
    </dataValidation>
    <dataValidation type="list" allowBlank="1" showInputMessage="1" showErrorMessage="1" sqref="I40" xr:uid="{D4564C3C-350C-4CFC-9ED4-BD6130AF3137}">
      <formula1>"X0,XC1,XC2,XC3,XC4"</formula1>
    </dataValidation>
    <dataValidation type="list" allowBlank="1" showInputMessage="1" showErrorMessage="1" sqref="I22" xr:uid="{349C4CC5-97AB-4C4D-8AC1-EC4F442913FD}">
      <formula1>SCREWS</formula1>
    </dataValidation>
    <dataValidation type="list" allowBlank="1" showInputMessage="1" showErrorMessage="1" sqref="I23" xr:uid="{B3E661D1-7877-4CF1-B6F4-D598FF025C34}">
      <formula1>INDIRECT($H$22)</formula1>
    </dataValidation>
    <dataValidation type="list" allowBlank="1" showInputMessage="1" showErrorMessage="1" sqref="I2" xr:uid="{8DBC8187-68CC-451B-9BCA-F6AA630FA74B}">
      <formula1>"Perm,Lunga,Media,Breve,Istantanea"</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3A83B532-9A4C-4398-8241-FA975B2F16EF}">
          <x14:formula1>
            <xm:f>CONCRETE!$C$26:$C$30</xm:f>
          </x14:formula1>
          <xm:sqref>I36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B2C72-BB0A-424A-94D0-AD3EC1107984}">
  <sheetPr codeName="Foglio3"/>
  <dimension ref="A1:P40"/>
  <sheetViews>
    <sheetView showGridLines="0" showRowColHeaders="0" zoomScaleNormal="100" workbookViewId="0">
      <selection activeCell="B4" sqref="B4:B5"/>
    </sheetView>
  </sheetViews>
  <sheetFormatPr defaultColWidth="0" defaultRowHeight="15" customHeight="1" zeroHeight="1"/>
  <cols>
    <col min="1" max="2" width="9" customWidth="1"/>
    <col min="3" max="3" width="31.625" customWidth="1"/>
    <col min="4" max="15" width="9" customWidth="1"/>
    <col min="16" max="16" width="26.375" bestFit="1" customWidth="1"/>
    <col min="17" max="16384" width="9" hidden="1"/>
  </cols>
  <sheetData>
    <row r="1" spans="2:6" ht="15" customHeight="1"/>
    <row r="2" spans="2:6" ht="15" customHeight="1"/>
    <row r="3" spans="2:6" ht="15" customHeight="1"/>
    <row r="4" spans="2:6" ht="15" customHeight="1">
      <c r="B4" s="254"/>
      <c r="C4" s="256" t="str">
        <f>traduzioni!A155</f>
        <v>editable cells</v>
      </c>
      <c r="D4" s="29"/>
    </row>
    <row r="5" spans="2:6" ht="15" customHeight="1">
      <c r="B5" s="255"/>
      <c r="C5" s="256"/>
      <c r="D5" s="29"/>
    </row>
    <row r="6" spans="2:6" ht="15" customHeight="1">
      <c r="C6" s="29"/>
    </row>
    <row r="7" spans="2:6" ht="15" customHeight="1"/>
    <row r="8" spans="2:6" ht="15" customHeight="1">
      <c r="B8" s="117"/>
      <c r="C8" s="118"/>
      <c r="D8" s="118"/>
      <c r="E8" s="118"/>
      <c r="F8" s="119"/>
    </row>
    <row r="9" spans="2:6" ht="15" customHeight="1">
      <c r="B9" s="120"/>
      <c r="C9" s="253" t="str">
        <f>traduzioni!A156</f>
        <v>Distance of the low screw line from the edge CLT</v>
      </c>
      <c r="D9" s="253"/>
      <c r="E9" s="253"/>
      <c r="F9" s="121"/>
    </row>
    <row r="10" spans="2:6" ht="15" customHeight="1">
      <c r="B10" s="120"/>
      <c r="C10" s="253"/>
      <c r="D10" s="253"/>
      <c r="E10" s="253"/>
      <c r="F10" s="121"/>
    </row>
    <row r="11" spans="2:6" ht="15" customHeight="1">
      <c r="B11" s="120"/>
      <c r="F11" s="121"/>
    </row>
    <row r="12" spans="2:6" ht="15" customHeight="1">
      <c r="B12" s="120"/>
      <c r="C12" s="68" t="str">
        <f>CONCATENATE(traduzioni!A157," t")</f>
        <v>Board t</v>
      </c>
      <c r="D12">
        <f>IF(GEOMETRY!H42="N",0,GEOMETRY!I42)</f>
        <v>0</v>
      </c>
      <c r="E12" t="s">
        <v>35</v>
      </c>
      <c r="F12" s="121"/>
    </row>
    <row r="13" spans="2:6" ht="15" customHeight="1">
      <c r="B13" s="120"/>
      <c r="C13" s="68" t="str">
        <f>CONCATENATE(traduzioni!A158," c")</f>
        <v>Longitudinal bar position c</v>
      </c>
      <c r="D13">
        <f>CONCRETE!H20</f>
        <v>24</v>
      </c>
      <c r="E13" t="s">
        <v>35</v>
      </c>
      <c r="F13" s="121"/>
    </row>
    <row r="14" spans="2:6" ht="15" customHeight="1">
      <c r="B14" s="120"/>
      <c r="C14" s="68" t="str">
        <f>traduzioni!A159</f>
        <v>Longitudinal bar (1/2 dia.)</v>
      </c>
      <c r="D14">
        <f>0.5*'CALCOLI STS (slab to slab)'!H38</f>
        <v>4</v>
      </c>
      <c r="E14" t="s">
        <v>35</v>
      </c>
      <c r="F14" s="121"/>
    </row>
    <row r="15" spans="2:6" ht="15" customHeight="1">
      <c r="B15" s="120"/>
      <c r="C15" s="68" t="str">
        <f>traduzioni!A160</f>
        <v>Tolerance on stirrup curvature</v>
      </c>
      <c r="D15" s="182">
        <v>2</v>
      </c>
      <c r="E15" t="s">
        <v>35</v>
      </c>
      <c r="F15" s="121"/>
    </row>
    <row r="16" spans="2:6" ht="15" customHeight="1">
      <c r="B16" s="120"/>
      <c r="C16" s="68" t="str">
        <f>traduzioni!A161</f>
        <v>Screw (1/2 dia.)</v>
      </c>
      <c r="D16">
        <f>0.5*'CALCOLI STS (slab to slab)'!H24</f>
        <v>5.5</v>
      </c>
      <c r="E16" t="s">
        <v>35</v>
      </c>
      <c r="F16" s="121"/>
    </row>
    <row r="17" spans="2:6" ht="15" customHeight="1">
      <c r="B17" s="120"/>
      <c r="F17" s="121"/>
    </row>
    <row r="18" spans="2:6" ht="15" customHeight="1">
      <c r="B18" s="120"/>
      <c r="D18" s="29">
        <f>SUM(D12:D16)</f>
        <v>35.5</v>
      </c>
      <c r="E18" s="29" t="s">
        <v>35</v>
      </c>
      <c r="F18" s="121"/>
    </row>
    <row r="19" spans="2:6" ht="15" customHeight="1">
      <c r="B19" s="122"/>
      <c r="C19" s="115"/>
      <c r="D19" s="115"/>
      <c r="E19" s="115"/>
      <c r="F19" s="123"/>
    </row>
    <row r="20" spans="2:6" ht="15" customHeight="1"/>
    <row r="21" spans="2:6" ht="15" customHeight="1">
      <c r="C21" s="150"/>
    </row>
    <row r="22" spans="2:6" ht="15" customHeight="1"/>
    <row r="23" spans="2:6" ht="15" customHeight="1"/>
    <row r="24" spans="2:6" ht="15" customHeight="1"/>
    <row r="25" spans="2:6" ht="15" customHeight="1"/>
    <row r="26" spans="2:6" ht="15" customHeight="1"/>
    <row r="27" spans="2:6" ht="15" customHeight="1"/>
    <row r="28" spans="2:6" ht="15" customHeight="1"/>
    <row r="29" spans="2:6" ht="15" customHeight="1"/>
    <row r="30" spans="2:6" ht="15" customHeight="1"/>
    <row r="31" spans="2:6" ht="15" customHeight="1"/>
    <row r="32" spans="2:6" ht="15" customHeight="1"/>
    <row r="33" customFormat="1" ht="15" customHeight="1"/>
    <row r="34" customFormat="1" ht="15" customHeight="1"/>
    <row r="35" customFormat="1" ht="15" hidden="1" customHeight="1"/>
    <row r="36" customFormat="1" ht="15" hidden="1" customHeight="1"/>
    <row r="37" customFormat="1" ht="15" hidden="1" customHeight="1"/>
    <row r="38" customFormat="1" ht="15" hidden="1" customHeight="1"/>
    <row r="39" customFormat="1" ht="15" hidden="1" customHeight="1"/>
    <row r="40" customFormat="1" ht="15" hidden="1" customHeight="1"/>
  </sheetData>
  <sheetProtection algorithmName="SHA-512" hashValue="O4ATGAK0T5Uy0mua/HqX7oQjK8UOBnmveILUJELnKy0yc8VEKWg0OZNbE1Cje+/3XVSRilUjuUT3I0bt+uUcoQ==" saltValue="6nGAzDayjAQPcrsU3HubUg==" spinCount="100000" sheet="1" objects="1" scenarios="1" selectLockedCells="1"/>
  <mergeCells count="3">
    <mergeCell ref="C9:E10"/>
    <mergeCell ref="B4:B5"/>
    <mergeCell ref="C4:C5"/>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17E22-4F3B-4373-B184-D9AEC0238F95}">
  <sheetPr codeName="Foglio4">
    <tabColor theme="0" tint="-0.14999847407452621"/>
  </sheetPr>
  <dimension ref="A1:X44"/>
  <sheetViews>
    <sheetView showGridLines="0" showRowColHeaders="0" zoomScaleNormal="100" workbookViewId="0">
      <selection activeCell="B4" sqref="B4:B5"/>
    </sheetView>
  </sheetViews>
  <sheetFormatPr defaultColWidth="0" defaultRowHeight="15" customHeight="1" zeroHeight="1"/>
  <cols>
    <col min="1" max="2" width="9" customWidth="1"/>
    <col min="3" max="3" width="12.625" customWidth="1"/>
    <col min="4" max="24" width="9" customWidth="1"/>
    <col min="25" max="16384" width="9" hidden="1"/>
  </cols>
  <sheetData>
    <row r="1" spans="2:23" ht="15" customHeight="1"/>
    <row r="2" spans="2:23" ht="15" customHeight="1"/>
    <row r="3" spans="2:23" ht="15" customHeight="1"/>
    <row r="4" spans="2:23" ht="15" customHeight="1">
      <c r="B4" s="254"/>
      <c r="C4" s="256" t="str">
        <f>traduzioni!A162</f>
        <v>editable cells</v>
      </c>
      <c r="D4" s="256"/>
    </row>
    <row r="5" spans="2:23" ht="15" customHeight="1">
      <c r="B5" s="255"/>
      <c r="C5" s="256"/>
      <c r="D5" s="256"/>
    </row>
    <row r="6" spans="2:23" ht="15" customHeight="1">
      <c r="C6" s="29"/>
    </row>
    <row r="7" spans="2:23" ht="15" customHeight="1"/>
    <row r="8" spans="2:23" ht="15" customHeight="1">
      <c r="B8" s="117"/>
      <c r="C8" s="118"/>
      <c r="D8" s="118"/>
      <c r="E8" s="118"/>
      <c r="F8" s="118"/>
      <c r="G8" s="118"/>
      <c r="H8" s="118"/>
      <c r="I8" s="118"/>
      <c r="J8" s="118"/>
      <c r="K8" s="118"/>
      <c r="L8" s="118"/>
      <c r="M8" s="118"/>
      <c r="N8" s="119"/>
      <c r="P8" s="117"/>
      <c r="Q8" s="118"/>
      <c r="R8" s="118"/>
      <c r="S8" s="118"/>
      <c r="T8" s="118"/>
      <c r="U8" s="118"/>
      <c r="V8" s="118"/>
      <c r="W8" s="119"/>
    </row>
    <row r="9" spans="2:23" ht="15" customHeight="1">
      <c r="B9" s="120"/>
      <c r="C9" t="str">
        <f>traduzioni!A164</f>
        <v>Environmental exposure class</v>
      </c>
      <c r="G9" s="182" t="s">
        <v>44</v>
      </c>
      <c r="N9" s="121"/>
      <c r="P9" s="120"/>
      <c r="Q9" s="257" t="str">
        <f>CONCATENATE(traduzioni!A223," [mm]")</f>
        <v>Minimum bars cover required [mm]</v>
      </c>
      <c r="R9" s="257"/>
      <c r="S9" s="257"/>
      <c r="T9" s="257"/>
      <c r="U9" s="257"/>
      <c r="V9" s="257"/>
      <c r="W9" s="121"/>
    </row>
    <row r="10" spans="2:23" ht="15" customHeight="1">
      <c r="B10" s="120"/>
      <c r="C10" t="str">
        <f>traduzioni!A165</f>
        <v>Structural class</v>
      </c>
      <c r="G10" s="182" t="s">
        <v>39</v>
      </c>
      <c r="N10" s="121"/>
      <c r="P10" s="120"/>
      <c r="Q10" s="106" t="s">
        <v>36</v>
      </c>
      <c r="R10" s="106" t="s">
        <v>43</v>
      </c>
      <c r="S10" s="106" t="s">
        <v>44</v>
      </c>
      <c r="T10" s="106" t="s">
        <v>45</v>
      </c>
      <c r="U10" s="106" t="s">
        <v>46</v>
      </c>
      <c r="V10" s="106" t="s">
        <v>47</v>
      </c>
      <c r="W10" s="121"/>
    </row>
    <row r="11" spans="2:23" ht="15" customHeight="1">
      <c r="B11" s="120"/>
      <c r="C11" s="97"/>
      <c r="D11" s="97"/>
      <c r="E11" s="97"/>
      <c r="F11" s="97"/>
      <c r="G11" s="97"/>
      <c r="H11" s="97"/>
      <c r="I11" s="97"/>
      <c r="J11" s="97"/>
      <c r="K11" s="97"/>
      <c r="L11" s="97"/>
      <c r="M11" s="97"/>
      <c r="N11" s="121"/>
      <c r="P11" s="120"/>
      <c r="Q11" s="106" t="s">
        <v>37</v>
      </c>
      <c r="R11">
        <v>10</v>
      </c>
      <c r="S11">
        <v>10</v>
      </c>
      <c r="T11">
        <v>10</v>
      </c>
      <c r="U11">
        <v>10</v>
      </c>
      <c r="V11">
        <v>15</v>
      </c>
      <c r="W11" s="121"/>
    </row>
    <row r="12" spans="2:23" ht="15" customHeight="1">
      <c r="B12" s="120"/>
      <c r="C12" s="124"/>
      <c r="D12" s="124" t="s">
        <v>21</v>
      </c>
      <c r="E12" s="124"/>
      <c r="F12" s="124" t="s">
        <v>31</v>
      </c>
      <c r="G12" s="124" t="s">
        <v>32</v>
      </c>
      <c r="H12" s="124"/>
      <c r="I12" s="124"/>
      <c r="J12" s="124" t="s">
        <v>34</v>
      </c>
      <c r="K12" s="125" t="s">
        <v>382</v>
      </c>
      <c r="L12" s="124"/>
      <c r="M12" s="124" t="s">
        <v>33</v>
      </c>
      <c r="N12" s="121"/>
      <c r="P12" s="120"/>
      <c r="Q12" s="106" t="s">
        <v>38</v>
      </c>
      <c r="R12">
        <v>10</v>
      </c>
      <c r="S12">
        <v>10</v>
      </c>
      <c r="T12">
        <v>15</v>
      </c>
      <c r="U12">
        <v>15</v>
      </c>
      <c r="V12">
        <v>20</v>
      </c>
      <c r="W12" s="121"/>
    </row>
    <row r="13" spans="2:23" ht="15" customHeight="1">
      <c r="B13" s="120"/>
      <c r="C13" s="68"/>
      <c r="D13" s="106" t="s">
        <v>35</v>
      </c>
      <c r="E13" s="106"/>
      <c r="F13" s="106" t="s">
        <v>35</v>
      </c>
      <c r="G13" s="106" t="s">
        <v>35</v>
      </c>
      <c r="H13" s="106" t="s">
        <v>35</v>
      </c>
      <c r="I13" s="106"/>
      <c r="J13" s="106" t="s">
        <v>35</v>
      </c>
      <c r="K13" s="106" t="s">
        <v>35</v>
      </c>
      <c r="L13" s="106"/>
      <c r="M13" s="106" t="s">
        <v>35</v>
      </c>
      <c r="N13" s="121"/>
      <c r="P13" s="120"/>
      <c r="Q13" s="106" t="s">
        <v>39</v>
      </c>
      <c r="R13">
        <v>10</v>
      </c>
      <c r="S13">
        <v>10</v>
      </c>
      <c r="T13">
        <v>20</v>
      </c>
      <c r="U13">
        <v>20</v>
      </c>
      <c r="V13">
        <v>25</v>
      </c>
      <c r="W13" s="121"/>
    </row>
    <row r="14" spans="2:23" ht="15" customHeight="1">
      <c r="B14" s="120"/>
      <c r="C14" s="106" t="s">
        <v>28</v>
      </c>
      <c r="D14">
        <f>'CALCOLI STS (slab to slab)'!H37</f>
        <v>6</v>
      </c>
      <c r="F14">
        <f>D14+IF('CALCOLI STS (slab to slab)'!H39&gt;32,5,0)</f>
        <v>6</v>
      </c>
      <c r="G14">
        <f>HLOOKUP(G9,R10:V16,MID(G10,2,1)+1,FALSE)</f>
        <v>10</v>
      </c>
      <c r="H14">
        <v>10</v>
      </c>
      <c r="J14">
        <f>MAX(F14,G14,H14)</f>
        <v>10</v>
      </c>
      <c r="K14" s="182">
        <v>10</v>
      </c>
      <c r="M14">
        <f>J14+K14</f>
        <v>20</v>
      </c>
      <c r="N14" s="121"/>
      <c r="P14" s="120"/>
      <c r="Q14" s="106" t="s">
        <v>40</v>
      </c>
      <c r="R14">
        <v>10</v>
      </c>
      <c r="S14">
        <v>15</v>
      </c>
      <c r="T14">
        <v>25</v>
      </c>
      <c r="U14">
        <v>25</v>
      </c>
      <c r="V14">
        <v>30</v>
      </c>
      <c r="W14" s="121"/>
    </row>
    <row r="15" spans="2:23" ht="15" customHeight="1">
      <c r="B15" s="120"/>
      <c r="C15" s="106" t="s">
        <v>29</v>
      </c>
      <c r="D15">
        <f>'CALCOLI STS (slab to slab)'!H38</f>
        <v>8</v>
      </c>
      <c r="F15">
        <f>D15+IF('CALCOLI STS (slab to slab)'!H39&gt;32,5,0)</f>
        <v>8</v>
      </c>
      <c r="G15">
        <f>HLOOKUP(G9,R10:V16,MID(G10,2,1)+1,FALSE)</f>
        <v>10</v>
      </c>
      <c r="H15">
        <v>10</v>
      </c>
      <c r="J15">
        <f>MAX(F15,G15,H15)</f>
        <v>10</v>
      </c>
      <c r="K15" s="182">
        <v>10</v>
      </c>
      <c r="M15">
        <f>J15+K15</f>
        <v>20</v>
      </c>
      <c r="N15" s="121"/>
      <c r="P15" s="120"/>
      <c r="Q15" s="106" t="s">
        <v>41</v>
      </c>
      <c r="R15">
        <v>15</v>
      </c>
      <c r="S15">
        <v>20</v>
      </c>
      <c r="T15">
        <v>30</v>
      </c>
      <c r="U15">
        <v>30</v>
      </c>
      <c r="V15">
        <v>35</v>
      </c>
      <c r="W15" s="121"/>
    </row>
    <row r="16" spans="2:23" ht="15" customHeight="1">
      <c r="B16" s="120"/>
      <c r="N16" s="121"/>
      <c r="P16" s="120"/>
      <c r="Q16" s="106" t="s">
        <v>42</v>
      </c>
      <c r="R16">
        <v>20</v>
      </c>
      <c r="S16">
        <v>25</v>
      </c>
      <c r="T16">
        <v>35</v>
      </c>
      <c r="U16">
        <v>35</v>
      </c>
      <c r="V16">
        <v>40</v>
      </c>
      <c r="W16" s="121"/>
    </row>
    <row r="17" spans="2:23" ht="15" customHeight="1">
      <c r="B17" s="120"/>
      <c r="C17" s="68" t="s">
        <v>162</v>
      </c>
      <c r="D17" s="68" t="str">
        <f>traduzioni!A166</f>
        <v>Minimum stirrups cover</v>
      </c>
      <c r="E17" s="68"/>
      <c r="F17" s="68"/>
      <c r="G17" s="68"/>
      <c r="H17">
        <f>M14</f>
        <v>20</v>
      </c>
      <c r="I17" t="s">
        <v>35</v>
      </c>
      <c r="N17" s="121"/>
      <c r="P17" s="122"/>
      <c r="Q17" s="115"/>
      <c r="R17" s="115"/>
      <c r="S17" s="115"/>
      <c r="T17" s="115"/>
      <c r="U17" s="115"/>
      <c r="V17" s="115"/>
      <c r="W17" s="123"/>
    </row>
    <row r="18" spans="2:23" ht="15" customHeight="1">
      <c r="B18" s="120"/>
      <c r="C18" s="68" t="s">
        <v>163</v>
      </c>
      <c r="D18" s="68" t="str">
        <f>traduzioni!A167</f>
        <v>Minimum longitudinal bars cover</v>
      </c>
      <c r="E18" s="68"/>
      <c r="F18" s="68"/>
      <c r="G18" s="68"/>
      <c r="H18">
        <f>M15</f>
        <v>20</v>
      </c>
      <c r="I18" t="s">
        <v>35</v>
      </c>
      <c r="N18" s="121"/>
    </row>
    <row r="19" spans="2:23" ht="15" customHeight="1">
      <c r="B19" s="120"/>
      <c r="C19" s="68"/>
      <c r="D19" s="68"/>
      <c r="E19" s="68"/>
      <c r="F19" s="68"/>
      <c r="G19" s="68"/>
      <c r="N19" s="121"/>
    </row>
    <row r="20" spans="2:23" ht="15" customHeight="1">
      <c r="B20" s="120"/>
      <c r="C20" s="68" t="s">
        <v>128</v>
      </c>
      <c r="D20" s="68" t="str">
        <f>traduzioni!A167</f>
        <v>Minimum longitudinal bars cover</v>
      </c>
      <c r="E20" s="68"/>
      <c r="F20" s="68"/>
      <c r="G20" s="68"/>
      <c r="H20">
        <f>MAX((H17+(D15/2)),(H18+(D15/2)))</f>
        <v>24</v>
      </c>
      <c r="I20" t="s">
        <v>35</v>
      </c>
      <c r="N20" s="121"/>
    </row>
    <row r="21" spans="2:23" ht="15" customHeight="1">
      <c r="B21" s="122"/>
      <c r="C21" s="115"/>
      <c r="D21" s="115"/>
      <c r="E21" s="115"/>
      <c r="F21" s="115"/>
      <c r="G21" s="115"/>
      <c r="H21" s="115"/>
      <c r="I21" s="115"/>
      <c r="J21" s="115"/>
      <c r="K21" s="115"/>
      <c r="L21" s="115"/>
      <c r="M21" s="115"/>
      <c r="N21" s="123"/>
    </row>
    <row r="22" spans="2:23" ht="15" customHeight="1"/>
    <row r="23" spans="2:23" ht="15" customHeight="1">
      <c r="B23" s="107"/>
      <c r="C23" s="108"/>
      <c r="D23" s="108"/>
      <c r="E23" s="108"/>
      <c r="F23" s="108"/>
      <c r="G23" s="108"/>
      <c r="H23" s="108"/>
      <c r="I23" s="108"/>
      <c r="J23" s="109"/>
    </row>
    <row r="24" spans="2:23" ht="15" customHeight="1">
      <c r="B24" s="110"/>
      <c r="C24" s="106"/>
      <c r="D24" s="106" t="s">
        <v>68</v>
      </c>
      <c r="E24" s="106" t="s">
        <v>69</v>
      </c>
      <c r="G24" t="str">
        <f>'CALCOLI STS (slab to slab)'!H36</f>
        <v>C25/30</v>
      </c>
      <c r="J24" s="111"/>
    </row>
    <row r="25" spans="2:23" ht="15" customHeight="1">
      <c r="B25" s="110"/>
      <c r="C25" s="106"/>
      <c r="D25" s="106" t="s">
        <v>100</v>
      </c>
      <c r="E25" s="106" t="s">
        <v>100</v>
      </c>
      <c r="J25" s="111"/>
    </row>
    <row r="26" spans="2:23" ht="15" customHeight="1">
      <c r="B26" s="110"/>
      <c r="C26" s="106" t="s">
        <v>65</v>
      </c>
      <c r="D26">
        <v>25</v>
      </c>
      <c r="E26">
        <v>20</v>
      </c>
      <c r="G26" t="s">
        <v>77</v>
      </c>
      <c r="H26">
        <f>IF('CALCOLI STS (slab to slab)'!L2="NTC 2018 (ITA)",1.5,1.5)</f>
        <v>1.5</v>
      </c>
      <c r="I26" t="s">
        <v>376</v>
      </c>
      <c r="J26" s="111"/>
    </row>
    <row r="27" spans="2:23" ht="15" customHeight="1">
      <c r="B27" s="110"/>
      <c r="C27" s="106" t="s">
        <v>64</v>
      </c>
      <c r="D27">
        <v>30</v>
      </c>
      <c r="E27">
        <v>25</v>
      </c>
      <c r="G27" s="1" t="s">
        <v>184</v>
      </c>
      <c r="H27">
        <v>0.85</v>
      </c>
      <c r="I27" t="s">
        <v>376</v>
      </c>
      <c r="J27" s="111"/>
    </row>
    <row r="28" spans="2:23" ht="15" customHeight="1">
      <c r="B28" s="110"/>
      <c r="C28" s="106" t="s">
        <v>66</v>
      </c>
      <c r="D28">
        <v>35</v>
      </c>
      <c r="E28">
        <v>28</v>
      </c>
      <c r="G28" s="1" t="s">
        <v>330</v>
      </c>
      <c r="H28">
        <v>1</v>
      </c>
      <c r="I28" t="s">
        <v>376</v>
      </c>
      <c r="J28" s="111"/>
    </row>
    <row r="29" spans="2:23" ht="15" customHeight="1">
      <c r="B29" s="110"/>
      <c r="C29" s="106" t="s">
        <v>356</v>
      </c>
      <c r="D29">
        <v>37</v>
      </c>
      <c r="E29">
        <v>28</v>
      </c>
      <c r="J29" s="111"/>
    </row>
    <row r="30" spans="2:23" ht="15" customHeight="1">
      <c r="B30" s="110"/>
      <c r="C30" s="106" t="s">
        <v>67</v>
      </c>
      <c r="D30">
        <v>40</v>
      </c>
      <c r="E30">
        <v>32</v>
      </c>
      <c r="G30" t="s">
        <v>105</v>
      </c>
      <c r="H30" s="4">
        <f>VLOOKUP(G24,C26:E35,3,FALSE)*H27/H26</f>
        <v>14.166666666666666</v>
      </c>
      <c r="I30" t="s">
        <v>100</v>
      </c>
      <c r="J30" s="111"/>
    </row>
    <row r="31" spans="2:23" ht="15" customHeight="1">
      <c r="B31" s="110"/>
      <c r="C31" s="106" t="s">
        <v>353</v>
      </c>
      <c r="D31">
        <v>45</v>
      </c>
      <c r="E31">
        <v>35</v>
      </c>
      <c r="J31" s="111"/>
    </row>
    <row r="32" spans="2:23" ht="15" customHeight="1">
      <c r="B32" s="110"/>
      <c r="C32" s="106" t="s">
        <v>354</v>
      </c>
      <c r="D32">
        <v>50</v>
      </c>
      <c r="E32">
        <v>40</v>
      </c>
      <c r="J32" s="111"/>
    </row>
    <row r="33" spans="2:14" ht="15" customHeight="1">
      <c r="B33" s="110"/>
      <c r="C33" s="106" t="s">
        <v>355</v>
      </c>
      <c r="D33">
        <v>55</v>
      </c>
      <c r="E33">
        <v>45</v>
      </c>
      <c r="J33" s="111"/>
    </row>
    <row r="34" spans="2:14" ht="15" customHeight="1">
      <c r="B34" s="110"/>
      <c r="C34" s="106" t="s">
        <v>357</v>
      </c>
      <c r="D34">
        <v>60</v>
      </c>
      <c r="E34">
        <v>50</v>
      </c>
      <c r="J34" s="111"/>
    </row>
    <row r="35" spans="2:14" ht="15" customHeight="1">
      <c r="B35" s="110"/>
      <c r="C35" s="182" t="s">
        <v>393</v>
      </c>
      <c r="D35" s="182"/>
      <c r="E35" s="182"/>
      <c r="J35" s="111"/>
    </row>
    <row r="36" spans="2:14" ht="15" customHeight="1">
      <c r="B36" s="112"/>
      <c r="C36" s="113"/>
      <c r="D36" s="113"/>
      <c r="E36" s="113"/>
      <c r="F36" s="113"/>
      <c r="G36" s="113"/>
      <c r="H36" s="113"/>
      <c r="I36" s="113"/>
      <c r="J36" s="114"/>
    </row>
    <row r="37" spans="2:14" ht="15" customHeight="1"/>
    <row r="38" spans="2:14" ht="15" customHeight="1">
      <c r="L38" s="35"/>
      <c r="M38" s="38"/>
      <c r="N38" s="38"/>
    </row>
    <row r="39" spans="2:14" ht="15" customHeight="1">
      <c r="L39" s="35"/>
      <c r="M39" s="38"/>
      <c r="N39" s="38"/>
    </row>
    <row r="40" spans="2:14" ht="15" customHeight="1">
      <c r="L40" s="35"/>
      <c r="M40" s="38"/>
      <c r="N40" s="38"/>
    </row>
    <row r="41" spans="2:14" ht="15" customHeight="1"/>
    <row r="42" spans="2:14" ht="15" customHeight="1"/>
    <row r="43" spans="2:14" ht="15" customHeight="1"/>
    <row r="44" spans="2:14" ht="15" customHeight="1"/>
  </sheetData>
  <sheetProtection algorithmName="SHA-512" hashValue="vupolnnkOkYDGEmbslIazDIQcD+cA8qbChyqKa/Aryo5dmOp4Phhc7p9BTsStTD4zW5Pw9fF9NwTIBcLJQ76CA==" saltValue="VNEOa5bg7W6V0KCyXn0HYw==" spinCount="100000" sheet="1" objects="1" scenarios="1" selectLockedCells="1"/>
  <mergeCells count="3">
    <mergeCell ref="Q9:V9"/>
    <mergeCell ref="B4:B5"/>
    <mergeCell ref="C4:D5"/>
  </mergeCells>
  <phoneticPr fontId="3" type="noConversion"/>
  <dataValidations count="2">
    <dataValidation type="list" allowBlank="1" showInputMessage="1" showErrorMessage="1" sqref="D11 G10" xr:uid="{BED607A7-2DE5-47B7-B4FC-19207E0D22DD}">
      <formula1>"S1,S2,S3,S4,S5,S6"</formula1>
    </dataValidation>
    <dataValidation type="list" allowBlank="1" showInputMessage="1" showErrorMessage="1" sqref="G9" xr:uid="{9BE7C228-462B-4AD3-852E-A5CFA4449177}">
      <formula1>"X0,XC1,XC2,XC3,XC4"</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B8E20-A95D-4409-98D6-C49B99B6295D}">
  <sheetPr codeName="Foglio5">
    <tabColor theme="5" tint="0.59999389629810485"/>
  </sheetPr>
  <dimension ref="A1:X84"/>
  <sheetViews>
    <sheetView showGridLines="0" showRowColHeaders="0" topLeftCell="D1" zoomScaleNormal="100" workbookViewId="0">
      <selection activeCell="E4" sqref="E4:E5"/>
    </sheetView>
  </sheetViews>
  <sheetFormatPr defaultColWidth="0" defaultRowHeight="15" customHeight="1" zeroHeight="1"/>
  <cols>
    <col min="1" max="3" width="9" hidden="1" customWidth="1"/>
    <col min="4" max="5" width="9" customWidth="1"/>
    <col min="6" max="6" width="45" bestFit="1" customWidth="1"/>
    <col min="7" max="20" width="9" customWidth="1"/>
    <col min="21" max="22" width="9" hidden="1" customWidth="1"/>
    <col min="23" max="23" width="12" hidden="1" customWidth="1"/>
    <col min="24" max="16384" width="9" hidden="1"/>
  </cols>
  <sheetData>
    <row r="1" spans="5:24" ht="15" customHeight="1"/>
    <row r="2" spans="5:24" ht="15" customHeight="1"/>
    <row r="3" spans="5:24" ht="15" customHeight="1"/>
    <row r="4" spans="5:24" ht="15" customHeight="1">
      <c r="E4" s="254"/>
    </row>
    <row r="5" spans="5:24" ht="15" customHeight="1">
      <c r="E5" s="255"/>
      <c r="F5" s="29" t="str">
        <f>traduzioni!A169</f>
        <v>editable cells</v>
      </c>
    </row>
    <row r="6" spans="5:24" ht="15" customHeight="1"/>
    <row r="7" spans="5:24" ht="15" customHeight="1"/>
    <row r="8" spans="5:24" ht="15" customHeight="1">
      <c r="E8" s="117"/>
      <c r="F8" s="118"/>
      <c r="G8" s="118"/>
      <c r="H8" s="118"/>
      <c r="I8" s="118"/>
      <c r="J8" s="118"/>
      <c r="K8" s="118"/>
      <c r="L8" s="118"/>
      <c r="M8" s="118"/>
      <c r="N8" s="118"/>
      <c r="O8" s="118"/>
      <c r="P8" s="119"/>
    </row>
    <row r="9" spans="5:24" ht="15" customHeight="1">
      <c r="E9" s="120"/>
      <c r="F9" s="106"/>
      <c r="G9" s="106" t="s">
        <v>74</v>
      </c>
      <c r="H9" s="106" t="s">
        <v>73</v>
      </c>
      <c r="I9" s="106" t="s">
        <v>89</v>
      </c>
      <c r="J9" s="106" t="s">
        <v>266</v>
      </c>
      <c r="K9" s="106" t="s">
        <v>265</v>
      </c>
      <c r="M9" t="str">
        <f>'CALCOLI STS (slab to slab)'!H16</f>
        <v>GL24h</v>
      </c>
      <c r="P9" s="121"/>
      <c r="W9" t="str">
        <f>traduzioni!A26</f>
        <v>Permanent</v>
      </c>
      <c r="X9">
        <v>0.6</v>
      </c>
    </row>
    <row r="10" spans="5:24" ht="15" customHeight="1">
      <c r="E10" s="120"/>
      <c r="F10" s="106"/>
      <c r="G10" s="106" t="s">
        <v>90</v>
      </c>
      <c r="H10" s="106" t="s">
        <v>90</v>
      </c>
      <c r="I10" s="106" t="s">
        <v>91</v>
      </c>
      <c r="J10" s="106" t="s">
        <v>90</v>
      </c>
      <c r="K10" s="106" t="s">
        <v>90</v>
      </c>
      <c r="P10" s="121"/>
      <c r="W10" t="str">
        <f>traduzioni!A27</f>
        <v>Long-term</v>
      </c>
      <c r="X10">
        <v>0.7</v>
      </c>
    </row>
    <row r="11" spans="5:24" ht="15" customHeight="1">
      <c r="E11" s="120"/>
      <c r="F11" s="130" t="s">
        <v>70</v>
      </c>
      <c r="G11">
        <v>21</v>
      </c>
      <c r="H11">
        <v>2.5</v>
      </c>
      <c r="I11">
        <v>380</v>
      </c>
      <c r="J11">
        <f>11000</f>
        <v>11000</v>
      </c>
      <c r="K11">
        <v>370</v>
      </c>
      <c r="M11" t="s">
        <v>77</v>
      </c>
      <c r="N11">
        <f>IF(GEOMETRY!H14="NTC 2018 (ITA)",1.35,1.25)</f>
        <v>1.25</v>
      </c>
      <c r="O11" t="s">
        <v>376</v>
      </c>
      <c r="P11" s="121"/>
      <c r="W11" t="str">
        <f>traduzioni!A28</f>
        <v>Medium-term</v>
      </c>
      <c r="X11">
        <v>0.8</v>
      </c>
    </row>
    <row r="12" spans="5:24" ht="15" customHeight="1">
      <c r="E12" s="120"/>
      <c r="F12" s="130" t="s">
        <v>71</v>
      </c>
      <c r="G12">
        <v>24</v>
      </c>
      <c r="H12">
        <v>2.5</v>
      </c>
      <c r="I12">
        <v>380</v>
      </c>
      <c r="J12">
        <v>11500</v>
      </c>
      <c r="K12">
        <v>300</v>
      </c>
      <c r="M12" t="s">
        <v>78</v>
      </c>
      <c r="N12">
        <f>VLOOKUP('CALCOLI STS (slab to slab)'!H2,W9:X14,2,FALSE)</f>
        <v>1</v>
      </c>
      <c r="O12" t="s">
        <v>376</v>
      </c>
      <c r="P12" s="121"/>
      <c r="W12" t="str">
        <f>traduzioni!A29</f>
        <v>Short-term</v>
      </c>
      <c r="X12">
        <v>0.9</v>
      </c>
    </row>
    <row r="13" spans="5:24" ht="15" customHeight="1">
      <c r="E13" s="120"/>
      <c r="F13" s="183" t="s">
        <v>393</v>
      </c>
      <c r="G13" s="182"/>
      <c r="H13" s="182"/>
      <c r="I13" s="182"/>
      <c r="J13" s="182"/>
      <c r="K13" s="182" t="s">
        <v>267</v>
      </c>
      <c r="P13" s="121"/>
      <c r="W13" t="str">
        <f>traduzioni!A30</f>
        <v>Istantaneous</v>
      </c>
      <c r="X13">
        <v>1.1000000000000001</v>
      </c>
    </row>
    <row r="14" spans="5:24" ht="15" customHeight="1">
      <c r="E14" s="120"/>
      <c r="M14" t="s">
        <v>89</v>
      </c>
      <c r="N14">
        <f>VLOOKUP($M$9,$F$11:$K$13,4,FALSE)</f>
        <v>380</v>
      </c>
      <c r="O14" t="s">
        <v>91</v>
      </c>
      <c r="P14" s="121"/>
      <c r="W14" t="str">
        <f>traduzioni!A31</f>
        <v>Short/Instantaneous</v>
      </c>
      <c r="X14">
        <v>1</v>
      </c>
    </row>
    <row r="15" spans="5:24" ht="15" customHeight="1">
      <c r="E15" s="120"/>
      <c r="M15" t="s">
        <v>266</v>
      </c>
      <c r="N15">
        <f>VLOOKUP($M$9,$F$11:$K$13,5,FALSE)</f>
        <v>11500</v>
      </c>
      <c r="O15" t="s">
        <v>90</v>
      </c>
      <c r="P15" s="121"/>
    </row>
    <row r="16" spans="5:24" ht="15" customHeight="1">
      <c r="E16" s="120"/>
      <c r="M16" t="s">
        <v>265</v>
      </c>
      <c r="N16">
        <f>VLOOKUP($M$9,$F$11:$K$13,6,FALSE)</f>
        <v>300</v>
      </c>
      <c r="O16" t="s">
        <v>90</v>
      </c>
      <c r="P16" s="121"/>
    </row>
    <row r="17" spans="1:19" ht="15" customHeight="1">
      <c r="E17" s="120"/>
      <c r="P17" s="121"/>
    </row>
    <row r="18" spans="1:19" ht="15" customHeight="1">
      <c r="E18" s="120"/>
      <c r="M18" t="s">
        <v>72</v>
      </c>
      <c r="N18">
        <f>VLOOKUP($M$9,$F$11:$K$13,2,FALSE)*(N12/N11)</f>
        <v>19.200000000000003</v>
      </c>
      <c r="O18" t="s">
        <v>90</v>
      </c>
      <c r="P18" s="121"/>
    </row>
    <row r="19" spans="1:19" ht="15" customHeight="1">
      <c r="E19" s="122"/>
      <c r="F19" s="115"/>
      <c r="G19" s="115"/>
      <c r="H19" s="115"/>
      <c r="I19" s="115"/>
      <c r="J19" s="115"/>
      <c r="K19" s="115"/>
      <c r="L19" s="115"/>
      <c r="M19" s="115"/>
      <c r="N19" s="115"/>
      <c r="O19" s="115"/>
      <c r="P19" s="123"/>
    </row>
    <row r="20" spans="1:19" ht="15" customHeight="1"/>
    <row r="21" spans="1:19" ht="15" customHeight="1"/>
    <row r="22" spans="1:19" ht="15" customHeight="1">
      <c r="A22" t="s">
        <v>15</v>
      </c>
      <c r="B22">
        <f>E25</f>
        <v>5</v>
      </c>
      <c r="C22" t="str">
        <f>_xlfn.CONCAT("L","_",B22,)</f>
        <v>L_5</v>
      </c>
      <c r="F22" t="str">
        <f>traduzioni!A170</f>
        <v>Pannels</v>
      </c>
    </row>
    <row r="23" spans="1:19" ht="15" customHeight="1">
      <c r="B23">
        <f>E42</f>
        <v>7</v>
      </c>
      <c r="C23" t="str">
        <f t="shared" ref="C23" si="0">_xlfn.CONCAT("L","_",B23,)</f>
        <v>L_7</v>
      </c>
      <c r="F23" s="68"/>
      <c r="G23" s="132" t="s">
        <v>4</v>
      </c>
      <c r="H23" s="132" t="s">
        <v>5</v>
      </c>
      <c r="I23" s="132" t="s">
        <v>6</v>
      </c>
      <c r="J23" s="132" t="s">
        <v>7</v>
      </c>
      <c r="K23" s="132" t="s">
        <v>8</v>
      </c>
      <c r="L23" s="132" t="s">
        <v>9</v>
      </c>
      <c r="M23" s="132" t="s">
        <v>10</v>
      </c>
      <c r="N23" s="132" t="s">
        <v>11</v>
      </c>
      <c r="O23" s="132" t="s">
        <v>12</v>
      </c>
      <c r="P23" s="132" t="s">
        <v>13</v>
      </c>
      <c r="Q23" s="132" t="s">
        <v>14</v>
      </c>
      <c r="R23" s="132" t="s">
        <v>58</v>
      </c>
      <c r="S23" s="132" t="s">
        <v>59</v>
      </c>
    </row>
    <row r="24" spans="1:19" ht="15" customHeight="1">
      <c r="B24">
        <f>E63</f>
        <v>9</v>
      </c>
      <c r="C24" t="str">
        <f>_xlfn.CONCAT("L","_",B24,)</f>
        <v>L_9</v>
      </c>
      <c r="F24" s="68"/>
      <c r="G24" s="132" t="s">
        <v>376</v>
      </c>
      <c r="H24" s="132" t="s">
        <v>35</v>
      </c>
      <c r="I24" s="132" t="s">
        <v>35</v>
      </c>
      <c r="J24" s="132" t="s">
        <v>35</v>
      </c>
      <c r="K24" s="132" t="s">
        <v>35</v>
      </c>
      <c r="L24" s="132" t="s">
        <v>35</v>
      </c>
      <c r="M24" s="132" t="s">
        <v>35</v>
      </c>
      <c r="N24" s="132" t="s">
        <v>35</v>
      </c>
      <c r="O24" s="132" t="s">
        <v>35</v>
      </c>
      <c r="P24" s="132" t="s">
        <v>35</v>
      </c>
      <c r="Q24" s="132" t="s">
        <v>35</v>
      </c>
      <c r="R24" s="132" t="s">
        <v>35</v>
      </c>
      <c r="S24" s="132" t="s">
        <v>35</v>
      </c>
    </row>
    <row r="25" spans="1:19" ht="15" customHeight="1">
      <c r="B25">
        <f>E74</f>
        <v>11</v>
      </c>
      <c r="C25" t="str">
        <f>_xlfn.CONCAT("L","_",B25,)</f>
        <v>L_11</v>
      </c>
      <c r="E25">
        <v>5</v>
      </c>
      <c r="F25" t="str">
        <f>_xlfn.CONCAT(H25,"mm - ",G25," - ",I25," ",J25," ",K25," ",L25," ",M25)</f>
        <v>160mm - 5s - 40 20 40 20 40</v>
      </c>
      <c r="G25" s="34" t="s">
        <v>426</v>
      </c>
      <c r="H25">
        <f>SUM(I25:M25)</f>
        <v>160</v>
      </c>
      <c r="I25">
        <v>40</v>
      </c>
      <c r="J25">
        <v>20</v>
      </c>
      <c r="K25">
        <v>40</v>
      </c>
      <c r="L25">
        <v>20</v>
      </c>
      <c r="M25">
        <v>40</v>
      </c>
    </row>
    <row r="26" spans="1:19" ht="15" customHeight="1">
      <c r="F26" t="str">
        <f t="shared" ref="F26:F32" si="1">_xlfn.CONCAT(H26,"mm - ",G26," - ",I26," ",J26," ",K26," ",L26," ",M26)</f>
        <v>160mm - 5s - 30 30 40 30 30</v>
      </c>
      <c r="G26" s="34" t="s">
        <v>426</v>
      </c>
      <c r="H26">
        <f>SUM(I26:M26)</f>
        <v>160</v>
      </c>
      <c r="I26">
        <v>30</v>
      </c>
      <c r="J26">
        <v>30</v>
      </c>
      <c r="K26">
        <v>40</v>
      </c>
      <c r="L26">
        <v>30</v>
      </c>
      <c r="M26">
        <v>30</v>
      </c>
    </row>
    <row r="27" spans="1:19" ht="15" customHeight="1">
      <c r="F27" t="str">
        <f t="shared" si="1"/>
        <v>170mm - 5s - 40 30 30 30 40</v>
      </c>
      <c r="G27" s="34" t="s">
        <v>426</v>
      </c>
      <c r="H27">
        <f>SUM(I27:M27)</f>
        <v>170</v>
      </c>
      <c r="I27">
        <v>40</v>
      </c>
      <c r="J27">
        <v>30</v>
      </c>
      <c r="K27">
        <v>30</v>
      </c>
      <c r="L27">
        <v>30</v>
      </c>
      <c r="M27">
        <v>40</v>
      </c>
    </row>
    <row r="28" spans="1:19" ht="15" customHeight="1">
      <c r="F28" t="str">
        <f t="shared" ref="F28" si="2">_xlfn.CONCAT(H28,"mm - ",G28," - ",I28," ",J28," ",K28," ",L28," ",M28)</f>
        <v>170mm - 5s - 30 40 30 40 30</v>
      </c>
      <c r="G28" s="34" t="s">
        <v>426</v>
      </c>
      <c r="H28">
        <f>SUM(I28:M28)</f>
        <v>170</v>
      </c>
      <c r="I28">
        <v>30</v>
      </c>
      <c r="J28">
        <v>40</v>
      </c>
      <c r="K28">
        <v>30</v>
      </c>
      <c r="L28">
        <v>40</v>
      </c>
      <c r="M28">
        <v>30</v>
      </c>
    </row>
    <row r="29" spans="1:19" ht="15" customHeight="1">
      <c r="F29" t="str">
        <f t="shared" si="1"/>
        <v>180mm - 5s - 40 30 40 30 40</v>
      </c>
      <c r="G29" s="34" t="s">
        <v>426</v>
      </c>
      <c r="H29">
        <f t="shared" ref="H29:H35" si="3">SUM(I29:M29)</f>
        <v>180</v>
      </c>
      <c r="I29">
        <v>40</v>
      </c>
      <c r="J29">
        <v>30</v>
      </c>
      <c r="K29">
        <v>40</v>
      </c>
      <c r="L29">
        <v>30</v>
      </c>
      <c r="M29">
        <v>40</v>
      </c>
    </row>
    <row r="30" spans="1:19" ht="15" customHeight="1">
      <c r="F30" t="str">
        <f t="shared" si="1"/>
        <v>190mm - 5s - 40 40 30 40 40</v>
      </c>
      <c r="G30" s="34" t="s">
        <v>426</v>
      </c>
      <c r="H30">
        <f t="shared" ref="H30:H31" si="4">SUM(I30:M30)</f>
        <v>190</v>
      </c>
      <c r="I30">
        <v>40</v>
      </c>
      <c r="J30">
        <v>40</v>
      </c>
      <c r="K30">
        <v>30</v>
      </c>
      <c r="L30">
        <v>40</v>
      </c>
      <c r="M30">
        <v>40</v>
      </c>
    </row>
    <row r="31" spans="1:19" ht="15" customHeight="1">
      <c r="F31" t="str">
        <f t="shared" ref="F31" si="5">_xlfn.CONCAT(H31,"mm - ",G31," - ",I31," ",J31," ",K31," ",L31," ",M31)</f>
        <v>200mm - 5s - 60 20 40 20 60</v>
      </c>
      <c r="G31" s="34" t="s">
        <v>426</v>
      </c>
      <c r="H31">
        <f t="shared" si="4"/>
        <v>200</v>
      </c>
      <c r="I31">
        <v>60</v>
      </c>
      <c r="J31">
        <v>20</v>
      </c>
      <c r="K31">
        <v>40</v>
      </c>
      <c r="L31">
        <v>20</v>
      </c>
      <c r="M31">
        <v>60</v>
      </c>
    </row>
    <row r="32" spans="1:19" ht="15" customHeight="1">
      <c r="F32" t="str">
        <f t="shared" si="1"/>
        <v>200mm - 5s - 40 40 40 40 40</v>
      </c>
      <c r="G32" s="34" t="s">
        <v>426</v>
      </c>
      <c r="H32">
        <f t="shared" si="3"/>
        <v>200</v>
      </c>
      <c r="I32">
        <v>40</v>
      </c>
      <c r="J32">
        <v>40</v>
      </c>
      <c r="K32">
        <v>40</v>
      </c>
      <c r="L32">
        <v>40</v>
      </c>
      <c r="M32">
        <v>40</v>
      </c>
    </row>
    <row r="33" spans="5:19" ht="15" customHeight="1">
      <c r="F33" t="str">
        <f t="shared" ref="F33" si="6">_xlfn.CONCAT(H33,"mm - ",G33," - ",I33," ",J33," ",K33," ",L33," ",M33)</f>
        <v>220mm - 5s - 60 30 40 30 60</v>
      </c>
      <c r="G33" s="34" t="s">
        <v>426</v>
      </c>
      <c r="H33">
        <f t="shared" ref="H33" si="7">SUM(I33:M33)</f>
        <v>220</v>
      </c>
      <c r="I33">
        <v>60</v>
      </c>
      <c r="J33">
        <v>30</v>
      </c>
      <c r="K33">
        <v>40</v>
      </c>
      <c r="L33">
        <v>30</v>
      </c>
      <c r="M33">
        <v>60</v>
      </c>
    </row>
    <row r="34" spans="5:19" ht="15" customHeight="1">
      <c r="F34" t="str">
        <f t="shared" ref="F34" si="8">_xlfn.CONCAT(H34,"mm - ",G34," - ",I34," ",J34," ",K34," ",L34," ",M34)</f>
        <v>260mm - 5s - 80 30 40 30 80</v>
      </c>
      <c r="G34" s="34" t="s">
        <v>426</v>
      </c>
      <c r="H34">
        <f t="shared" ref="H34" si="9">SUM(I34:M34)</f>
        <v>260</v>
      </c>
      <c r="I34">
        <v>80</v>
      </c>
      <c r="J34">
        <v>30</v>
      </c>
      <c r="K34">
        <v>40</v>
      </c>
      <c r="L34">
        <v>30</v>
      </c>
      <c r="M34">
        <v>80</v>
      </c>
    </row>
    <row r="35" spans="5:19" ht="15" customHeight="1">
      <c r="F35" t="str">
        <f>_xlfn.CONCAT(H35,"mm - ",G35," - ",I35," ",J35," ",K35," ",L35," ",M35," - user")</f>
        <v>0mm - 5s -      - user</v>
      </c>
      <c r="G35" s="34" t="s">
        <v>426</v>
      </c>
      <c r="H35">
        <f t="shared" si="3"/>
        <v>0</v>
      </c>
      <c r="I35" s="182"/>
      <c r="J35" s="182"/>
      <c r="K35" s="182"/>
      <c r="L35" s="182"/>
      <c r="M35" s="182"/>
    </row>
    <row r="36" spans="5:19" ht="15" customHeight="1"/>
    <row r="37" spans="5:19" ht="15" customHeight="1"/>
    <row r="38" spans="5:19" ht="15" customHeight="1"/>
    <row r="39" spans="5:19" ht="15" customHeight="1"/>
    <row r="40" spans="5:19" ht="15" customHeight="1">
      <c r="F40" s="68"/>
      <c r="G40" s="132" t="s">
        <v>4</v>
      </c>
      <c r="H40" s="132" t="s">
        <v>5</v>
      </c>
      <c r="I40" s="132" t="s">
        <v>6</v>
      </c>
      <c r="J40" s="132" t="s">
        <v>7</v>
      </c>
      <c r="K40" s="132" t="s">
        <v>8</v>
      </c>
      <c r="L40" s="132" t="s">
        <v>9</v>
      </c>
      <c r="M40" s="132" t="s">
        <v>10</v>
      </c>
      <c r="N40" s="132" t="s">
        <v>11</v>
      </c>
      <c r="O40" s="132" t="s">
        <v>12</v>
      </c>
      <c r="P40" s="132" t="s">
        <v>13</v>
      </c>
      <c r="Q40" s="132" t="s">
        <v>14</v>
      </c>
      <c r="R40" s="132" t="s">
        <v>58</v>
      </c>
      <c r="S40" s="132" t="s">
        <v>59</v>
      </c>
    </row>
    <row r="41" spans="5:19" ht="15" customHeight="1">
      <c r="F41" s="68"/>
      <c r="G41" s="132" t="s">
        <v>376</v>
      </c>
      <c r="H41" s="132" t="s">
        <v>35</v>
      </c>
      <c r="I41" s="132" t="s">
        <v>35</v>
      </c>
      <c r="J41" s="132" t="s">
        <v>35</v>
      </c>
      <c r="K41" s="132" t="s">
        <v>35</v>
      </c>
      <c r="L41" s="132" t="s">
        <v>35</v>
      </c>
      <c r="M41" s="132" t="s">
        <v>35</v>
      </c>
      <c r="N41" s="132" t="s">
        <v>35</v>
      </c>
      <c r="O41" s="132" t="s">
        <v>35</v>
      </c>
      <c r="P41" s="132" t="s">
        <v>35</v>
      </c>
      <c r="Q41" s="132" t="s">
        <v>35</v>
      </c>
      <c r="R41" s="132" t="s">
        <v>35</v>
      </c>
      <c r="S41" s="132" t="s">
        <v>35</v>
      </c>
    </row>
    <row r="42" spans="5:19" ht="15" customHeight="1">
      <c r="E42">
        <v>7</v>
      </c>
      <c r="F42" t="str">
        <f>_xlfn.CONCAT(H42,"mm - ",G42," - ",I42," ",J42," ",K42," ",L42," ",M42," ",N42," ",O42)</f>
        <v>180mm - 7s - 30 20 30 20 30 20 30</v>
      </c>
      <c r="G42" s="34" t="s">
        <v>427</v>
      </c>
      <c r="H42">
        <f>SUM(I42:O42)</f>
        <v>180</v>
      </c>
      <c r="I42">
        <v>30</v>
      </c>
      <c r="J42">
        <v>20</v>
      </c>
      <c r="K42">
        <v>30</v>
      </c>
      <c r="L42">
        <v>20</v>
      </c>
      <c r="M42">
        <v>30</v>
      </c>
      <c r="N42">
        <v>20</v>
      </c>
      <c r="O42">
        <v>30</v>
      </c>
    </row>
    <row r="43" spans="5:19" ht="15" customHeight="1">
      <c r="F43" t="str">
        <f t="shared" ref="F43:F55" si="10">_xlfn.CONCAT(H43,"mm - ",G43," - ",I43," ",J43," ",K43," ",L43," ",M43," ",N43," ",O43)</f>
        <v>180mm - 7s - 20 40 20 20 20 40 20</v>
      </c>
      <c r="G43" s="34" t="s">
        <v>427</v>
      </c>
      <c r="H43">
        <f>SUM(I43:O43)</f>
        <v>180</v>
      </c>
      <c r="I43">
        <v>20</v>
      </c>
      <c r="J43">
        <v>40</v>
      </c>
      <c r="K43">
        <v>20</v>
      </c>
      <c r="L43">
        <v>20</v>
      </c>
      <c r="M43">
        <v>20</v>
      </c>
      <c r="N43">
        <v>40</v>
      </c>
      <c r="O43">
        <v>20</v>
      </c>
    </row>
    <row r="44" spans="5:19" ht="15" customHeight="1">
      <c r="F44" t="str">
        <f t="shared" si="10"/>
        <v>200mm - 7s - 20 40 20 40 20 40 20</v>
      </c>
      <c r="G44" s="34" t="s">
        <v>427</v>
      </c>
      <c r="H44">
        <f t="shared" ref="H44:H47" si="11">SUM(I44:O44)</f>
        <v>200</v>
      </c>
      <c r="I44">
        <v>20</v>
      </c>
      <c r="J44">
        <v>40</v>
      </c>
      <c r="K44">
        <v>20</v>
      </c>
      <c r="L44">
        <v>40</v>
      </c>
      <c r="M44">
        <v>20</v>
      </c>
      <c r="N44">
        <v>40</v>
      </c>
      <c r="O44">
        <v>20</v>
      </c>
    </row>
    <row r="45" spans="5:19" ht="15" customHeight="1">
      <c r="F45" t="str">
        <f t="shared" si="10"/>
        <v>200mm - 7s - 30 30 30 20 30 30 30</v>
      </c>
      <c r="G45" s="34" t="s">
        <v>427</v>
      </c>
      <c r="H45">
        <f t="shared" si="11"/>
        <v>200</v>
      </c>
      <c r="I45">
        <v>30</v>
      </c>
      <c r="J45">
        <v>30</v>
      </c>
      <c r="K45">
        <v>30</v>
      </c>
      <c r="L45">
        <v>20</v>
      </c>
      <c r="M45">
        <v>30</v>
      </c>
      <c r="N45">
        <v>30</v>
      </c>
      <c r="O45">
        <v>30</v>
      </c>
    </row>
    <row r="46" spans="5:19" ht="15" customHeight="1">
      <c r="F46" t="str">
        <f t="shared" si="10"/>
        <v>210mm - 7s - 30 30 30 30 30 30 30</v>
      </c>
      <c r="G46" s="34" t="s">
        <v>427</v>
      </c>
      <c r="H46">
        <f t="shared" si="11"/>
        <v>210</v>
      </c>
      <c r="I46">
        <v>30</v>
      </c>
      <c r="J46">
        <v>30</v>
      </c>
      <c r="K46">
        <v>30</v>
      </c>
      <c r="L46">
        <v>30</v>
      </c>
      <c r="M46">
        <v>30</v>
      </c>
      <c r="N46">
        <v>30</v>
      </c>
      <c r="O46">
        <v>30</v>
      </c>
    </row>
    <row r="47" spans="5:19" ht="15" customHeight="1">
      <c r="F47" t="str">
        <f t="shared" si="10"/>
        <v>220mm - 7s - 40 40 20 20 20 40 40</v>
      </c>
      <c r="G47" s="34" t="s">
        <v>427</v>
      </c>
      <c r="H47">
        <f t="shared" si="11"/>
        <v>220</v>
      </c>
      <c r="I47">
        <v>40</v>
      </c>
      <c r="J47">
        <v>40</v>
      </c>
      <c r="K47">
        <v>20</v>
      </c>
      <c r="L47">
        <v>20</v>
      </c>
      <c r="M47">
        <v>20</v>
      </c>
      <c r="N47">
        <v>40</v>
      </c>
      <c r="O47">
        <v>40</v>
      </c>
    </row>
    <row r="48" spans="5:19" ht="15" customHeight="1">
      <c r="F48" t="str">
        <f t="shared" ref="F48" si="12">_xlfn.CONCAT(H48,"mm - ",G48," - ",I48," ",J48," ",K48," ",L48," ",M48," ",N48," ",O48)</f>
        <v>220mm - 7s - 30 40 30 20 30 40 30</v>
      </c>
      <c r="G48" s="34" t="s">
        <v>427</v>
      </c>
      <c r="H48">
        <f t="shared" ref="H48" si="13">SUM(I48:O48)</f>
        <v>220</v>
      </c>
      <c r="I48">
        <v>30</v>
      </c>
      <c r="J48">
        <v>40</v>
      </c>
      <c r="K48">
        <v>30</v>
      </c>
      <c r="L48">
        <v>20</v>
      </c>
      <c r="M48">
        <v>30</v>
      </c>
      <c r="N48">
        <v>40</v>
      </c>
      <c r="O48">
        <v>30</v>
      </c>
    </row>
    <row r="49" spans="5:19" ht="15" customHeight="1">
      <c r="F49" t="str">
        <f t="shared" ref="F49" si="14">_xlfn.CONCAT(H49,"mm - ",G49," - ",I49," ",J49," ",K49," ",L49," ",M49," ",N49," ",O49)</f>
        <v>220mm - 7s - 40 20 40 20 40 20 40</v>
      </c>
      <c r="G49" s="34" t="s">
        <v>427</v>
      </c>
      <c r="H49">
        <f t="shared" ref="H49:H50" si="15">SUM(I49:O49)</f>
        <v>220</v>
      </c>
      <c r="I49">
        <v>40</v>
      </c>
      <c r="J49">
        <v>20</v>
      </c>
      <c r="K49">
        <v>40</v>
      </c>
      <c r="L49">
        <v>20</v>
      </c>
      <c r="M49">
        <v>40</v>
      </c>
      <c r="N49">
        <v>20</v>
      </c>
      <c r="O49">
        <v>40</v>
      </c>
    </row>
    <row r="50" spans="5:19" ht="15" customHeight="1">
      <c r="F50" t="str">
        <f t="shared" si="10"/>
        <v>240mm - 7s - 30 40 30 40 30 40 30</v>
      </c>
      <c r="G50" s="34" t="s">
        <v>427</v>
      </c>
      <c r="H50">
        <f t="shared" si="15"/>
        <v>240</v>
      </c>
      <c r="I50">
        <v>30</v>
      </c>
      <c r="J50">
        <v>40</v>
      </c>
      <c r="K50">
        <v>30</v>
      </c>
      <c r="L50">
        <v>40</v>
      </c>
      <c r="M50">
        <v>30</v>
      </c>
      <c r="N50">
        <v>40</v>
      </c>
      <c r="O50">
        <v>30</v>
      </c>
    </row>
    <row r="51" spans="5:19" ht="15" customHeight="1">
      <c r="F51" t="str">
        <f t="shared" ref="F51:F52" si="16">_xlfn.CONCAT(H51,"mm - ",G51," - ",I51," ",J51," ",K51," ",L51," ",M51," ",N51," ",O51)</f>
        <v>240mm - 7s - 40 40 20 40 20 40 40</v>
      </c>
      <c r="G51" s="34" t="s">
        <v>427</v>
      </c>
      <c r="H51">
        <f t="shared" ref="H51:H52" si="17">SUM(I51:O51)</f>
        <v>240</v>
      </c>
      <c r="I51">
        <v>40</v>
      </c>
      <c r="J51">
        <v>40</v>
      </c>
      <c r="K51">
        <v>20</v>
      </c>
      <c r="L51">
        <v>40</v>
      </c>
      <c r="M51">
        <v>20</v>
      </c>
      <c r="N51">
        <v>40</v>
      </c>
      <c r="O51">
        <v>40</v>
      </c>
    </row>
    <row r="52" spans="5:19" ht="15" customHeight="1">
      <c r="F52" t="str">
        <f t="shared" si="16"/>
        <v>240mm - 7s - 40 20 40 40 40 20 40</v>
      </c>
      <c r="G52" s="34" t="s">
        <v>427</v>
      </c>
      <c r="H52">
        <f t="shared" si="17"/>
        <v>240</v>
      </c>
      <c r="I52">
        <v>40</v>
      </c>
      <c r="J52">
        <v>20</v>
      </c>
      <c r="K52">
        <v>40</v>
      </c>
      <c r="L52">
        <v>40</v>
      </c>
      <c r="M52">
        <v>40</v>
      </c>
      <c r="N52">
        <v>20</v>
      </c>
      <c r="O52">
        <v>40</v>
      </c>
    </row>
    <row r="53" spans="5:19" ht="15" customHeight="1">
      <c r="F53" t="str">
        <f t="shared" ref="F53" si="18">_xlfn.CONCAT(H53,"mm - ",G53," - ",I53," ",J53," ",K53," ",L53," ",M53," ",N53," ",O53)</f>
        <v>252mm - 7s - 33 40 33 40 33 40 33</v>
      </c>
      <c r="G53" s="34" t="s">
        <v>427</v>
      </c>
      <c r="H53">
        <f t="shared" ref="H53" si="19">SUM(I53:O53)</f>
        <v>252</v>
      </c>
      <c r="I53">
        <v>33</v>
      </c>
      <c r="J53">
        <v>40</v>
      </c>
      <c r="K53">
        <v>33</v>
      </c>
      <c r="L53">
        <v>40</v>
      </c>
      <c r="M53">
        <v>33</v>
      </c>
      <c r="N53">
        <v>40</v>
      </c>
      <c r="O53">
        <v>33</v>
      </c>
    </row>
    <row r="54" spans="5:19" ht="15" customHeight="1">
      <c r="F54" t="str">
        <f t="shared" ref="F54" si="20">_xlfn.CONCAT(H54,"mm - ",G54," - ",I54," ",J54," ",K54," ",L54," ",M54," ",N54," ",O54)</f>
        <v>260mm - 7s - 40 40 30 40 30 40 40</v>
      </c>
      <c r="G54" s="34" t="s">
        <v>427</v>
      </c>
      <c r="H54">
        <f t="shared" ref="H54" si="21">SUM(I54:O54)</f>
        <v>260</v>
      </c>
      <c r="I54">
        <v>40</v>
      </c>
      <c r="J54">
        <v>40</v>
      </c>
      <c r="K54">
        <v>30</v>
      </c>
      <c r="L54">
        <v>40</v>
      </c>
      <c r="M54">
        <v>30</v>
      </c>
      <c r="N54">
        <v>40</v>
      </c>
      <c r="O54">
        <v>40</v>
      </c>
    </row>
    <row r="55" spans="5:19" ht="15" customHeight="1">
      <c r="F55" t="str">
        <f t="shared" si="10"/>
        <v>280mm - 7s - 40 40 40 40 40 40 40</v>
      </c>
      <c r="G55" s="34" t="s">
        <v>427</v>
      </c>
      <c r="H55">
        <f>SUM(I55:O55)</f>
        <v>280</v>
      </c>
      <c r="I55">
        <v>40</v>
      </c>
      <c r="J55">
        <v>40</v>
      </c>
      <c r="K55">
        <v>40</v>
      </c>
      <c r="L55">
        <v>40</v>
      </c>
      <c r="M55">
        <v>40</v>
      </c>
      <c r="N55">
        <v>40</v>
      </c>
      <c r="O55">
        <v>40</v>
      </c>
    </row>
    <row r="56" spans="5:19" ht="15" customHeight="1">
      <c r="F56" t="str">
        <f>_xlfn.CONCAT(H56,"mm - ",G56," - ",I56," ",J56," ",K56," ",L56," ",M56," ",N56," ",O56," - user")</f>
        <v>0mm - 7s -        - user</v>
      </c>
      <c r="G56" s="34" t="s">
        <v>427</v>
      </c>
      <c r="H56">
        <f>SUM(I56:O56)</f>
        <v>0</v>
      </c>
      <c r="I56" s="182"/>
      <c r="J56" s="182"/>
      <c r="K56" s="182"/>
      <c r="L56" s="182"/>
      <c r="M56" s="182"/>
      <c r="N56" s="182"/>
      <c r="O56" s="182"/>
    </row>
    <row r="57" spans="5:19" ht="15" customHeight="1"/>
    <row r="58" spans="5:19" ht="15" customHeight="1"/>
    <row r="59" spans="5:19" ht="15" customHeight="1"/>
    <row r="60" spans="5:19" ht="15" customHeight="1"/>
    <row r="61" spans="5:19" ht="15" customHeight="1">
      <c r="F61" s="68"/>
      <c r="G61" s="132" t="s">
        <v>4</v>
      </c>
      <c r="H61" s="132" t="s">
        <v>5</v>
      </c>
      <c r="I61" s="132" t="s">
        <v>6</v>
      </c>
      <c r="J61" s="132" t="s">
        <v>7</v>
      </c>
      <c r="K61" s="132" t="s">
        <v>8</v>
      </c>
      <c r="L61" s="132" t="s">
        <v>9</v>
      </c>
      <c r="M61" s="132" t="s">
        <v>10</v>
      </c>
      <c r="N61" s="132" t="s">
        <v>11</v>
      </c>
      <c r="O61" s="132" t="s">
        <v>12</v>
      </c>
      <c r="P61" s="132" t="s">
        <v>13</v>
      </c>
      <c r="Q61" s="132" t="s">
        <v>14</v>
      </c>
      <c r="R61" s="132" t="s">
        <v>58</v>
      </c>
      <c r="S61" s="132" t="s">
        <v>59</v>
      </c>
    </row>
    <row r="62" spans="5:19" ht="15" customHeight="1">
      <c r="F62" s="68"/>
      <c r="G62" s="132" t="s">
        <v>376</v>
      </c>
      <c r="H62" s="132" t="s">
        <v>35</v>
      </c>
      <c r="I62" s="132" t="s">
        <v>35</v>
      </c>
      <c r="J62" s="132" t="s">
        <v>35</v>
      </c>
      <c r="K62" s="132" t="s">
        <v>35</v>
      </c>
      <c r="L62" s="132" t="s">
        <v>35</v>
      </c>
      <c r="M62" s="132" t="s">
        <v>35</v>
      </c>
      <c r="N62" s="132" t="s">
        <v>35</v>
      </c>
      <c r="O62" s="132" t="s">
        <v>35</v>
      </c>
      <c r="P62" s="132" t="s">
        <v>35</v>
      </c>
      <c r="Q62" s="132" t="s">
        <v>35</v>
      </c>
      <c r="R62" s="132" t="s">
        <v>35</v>
      </c>
      <c r="S62" s="132" t="s">
        <v>35</v>
      </c>
    </row>
    <row r="63" spans="5:19" ht="15" customHeight="1">
      <c r="E63">
        <v>9</v>
      </c>
      <c r="F63" t="str">
        <f>_xlfn.CONCAT(H63,"mm - ",G63," - ",I63," ",J63," ",K63," ",L63," ",M63," ",N63," ",O63," ",P63," ",Q63)</f>
        <v>297mm - 9s - 33 33 33 33 33 33 33 33 33</v>
      </c>
      <c r="G63" s="34" t="s">
        <v>428</v>
      </c>
      <c r="H63">
        <f>SUM(I63:Q63)</f>
        <v>297</v>
      </c>
      <c r="I63">
        <v>33</v>
      </c>
      <c r="J63">
        <v>33</v>
      </c>
      <c r="K63">
        <v>33</v>
      </c>
      <c r="L63">
        <v>33</v>
      </c>
      <c r="M63">
        <v>33</v>
      </c>
      <c r="N63">
        <v>33</v>
      </c>
      <c r="O63">
        <v>33</v>
      </c>
      <c r="P63">
        <v>33</v>
      </c>
      <c r="Q63">
        <v>33</v>
      </c>
    </row>
    <row r="64" spans="5:19" ht="15" customHeight="1">
      <c r="F64" t="str">
        <f t="shared" ref="F64" si="22">_xlfn.CONCAT(H64,"mm - ",G64," - ",I64," ",J64," ",K64," ",L64," ",M64," ",N64," ",O64," ",P64," ",Q64)</f>
        <v>320mm - 9s - 40 30 40 30 40 30 40 30 40</v>
      </c>
      <c r="G64" s="34" t="s">
        <v>428</v>
      </c>
      <c r="H64">
        <f t="shared" ref="H64:H65" si="23">SUM(I64:Q64)</f>
        <v>320</v>
      </c>
      <c r="I64">
        <v>40</v>
      </c>
      <c r="J64">
        <v>30</v>
      </c>
      <c r="K64">
        <v>40</v>
      </c>
      <c r="L64">
        <v>30</v>
      </c>
      <c r="M64">
        <v>40</v>
      </c>
      <c r="N64">
        <v>30</v>
      </c>
      <c r="O64">
        <v>40</v>
      </c>
      <c r="P64">
        <v>30</v>
      </c>
      <c r="Q64">
        <v>40</v>
      </c>
    </row>
    <row r="65" spans="5:19" ht="15" customHeight="1">
      <c r="F65" t="str">
        <f>_xlfn.CONCAT(H65,"mm - ",G65," - ",I65," ",J65," ",K65," ",L65," ",M65," ",N65," ",O65," ",P65," ",Q65)</f>
        <v>340mm - 9s - 40 40 40 30 40 30 40 40 40</v>
      </c>
      <c r="G65" s="34" t="s">
        <v>428</v>
      </c>
      <c r="H65">
        <f t="shared" si="23"/>
        <v>340</v>
      </c>
      <c r="I65">
        <v>40</v>
      </c>
      <c r="J65">
        <v>40</v>
      </c>
      <c r="K65">
        <v>40</v>
      </c>
      <c r="L65">
        <v>30</v>
      </c>
      <c r="M65">
        <v>40</v>
      </c>
      <c r="N65">
        <v>30</v>
      </c>
      <c r="O65">
        <v>40</v>
      </c>
      <c r="P65">
        <v>40</v>
      </c>
      <c r="Q65">
        <v>40</v>
      </c>
    </row>
    <row r="66" spans="5:19" ht="15" customHeight="1">
      <c r="F66" t="str">
        <f t="shared" ref="F66" si="24">_xlfn.CONCAT(H66,"mm - ",G66," - ",I66," ",J66," ",K66," ",L66," ",M66," ",N66," ",O66," ",P66," ",Q66)</f>
        <v>360mm - 9s - 40 40 40 40 40 40 40 40 40</v>
      </c>
      <c r="G66" s="34" t="s">
        <v>428</v>
      </c>
      <c r="H66">
        <f t="shared" ref="H66" si="25">SUM(I66:Q66)</f>
        <v>360</v>
      </c>
      <c r="I66">
        <v>40</v>
      </c>
      <c r="J66">
        <v>40</v>
      </c>
      <c r="K66">
        <v>40</v>
      </c>
      <c r="L66">
        <v>40</v>
      </c>
      <c r="M66">
        <v>40</v>
      </c>
      <c r="N66">
        <v>40</v>
      </c>
      <c r="O66">
        <v>40</v>
      </c>
      <c r="P66">
        <v>40</v>
      </c>
      <c r="Q66">
        <v>40</v>
      </c>
    </row>
    <row r="67" spans="5:19" ht="15" customHeight="1">
      <c r="F67" t="str">
        <f>_xlfn.CONCAT(H67,"mm - ",G67," - ",I67," ",J67," ",K67," ",L67," ",M67," ",N67," ",O67," ",P67," ",Q67," - user")</f>
        <v>0mm - 9s -          - user</v>
      </c>
      <c r="G67" s="34" t="s">
        <v>428</v>
      </c>
      <c r="H67">
        <f t="shared" ref="H67" si="26">SUM(I67:Q67)</f>
        <v>0</v>
      </c>
      <c r="I67" s="182"/>
      <c r="J67" s="182"/>
      <c r="K67" s="182"/>
      <c r="L67" s="182"/>
      <c r="M67" s="182"/>
      <c r="N67" s="182"/>
      <c r="O67" s="182"/>
      <c r="P67" s="182"/>
      <c r="Q67" s="182"/>
    </row>
    <row r="68" spans="5:19" ht="15" customHeight="1"/>
    <row r="69" spans="5:19" ht="15" customHeight="1"/>
    <row r="70" spans="5:19" ht="15" customHeight="1"/>
    <row r="71" spans="5:19" ht="15" customHeight="1"/>
    <row r="72" spans="5:19" ht="15" customHeight="1">
      <c r="F72" s="68"/>
      <c r="G72" s="132" t="s">
        <v>4</v>
      </c>
      <c r="H72" s="132" t="s">
        <v>5</v>
      </c>
      <c r="I72" s="132" t="s">
        <v>6</v>
      </c>
      <c r="J72" s="132" t="s">
        <v>7</v>
      </c>
      <c r="K72" s="132" t="s">
        <v>8</v>
      </c>
      <c r="L72" s="132" t="s">
        <v>9</v>
      </c>
      <c r="M72" s="132" t="s">
        <v>10</v>
      </c>
      <c r="N72" s="132" t="s">
        <v>11</v>
      </c>
      <c r="O72" s="132" t="s">
        <v>12</v>
      </c>
      <c r="P72" s="132" t="s">
        <v>13</v>
      </c>
      <c r="Q72" s="132" t="s">
        <v>14</v>
      </c>
      <c r="R72" s="132" t="s">
        <v>58</v>
      </c>
      <c r="S72" s="132" t="s">
        <v>59</v>
      </c>
    </row>
    <row r="73" spans="5:19" ht="15" customHeight="1">
      <c r="F73" s="68"/>
      <c r="G73" s="132" t="s">
        <v>376</v>
      </c>
      <c r="H73" s="132" t="s">
        <v>35</v>
      </c>
      <c r="I73" s="132" t="s">
        <v>35</v>
      </c>
      <c r="J73" s="132" t="s">
        <v>35</v>
      </c>
      <c r="K73" s="132" t="s">
        <v>35</v>
      </c>
      <c r="L73" s="132" t="s">
        <v>35</v>
      </c>
      <c r="M73" s="132" t="s">
        <v>35</v>
      </c>
      <c r="N73" s="132" t="s">
        <v>35</v>
      </c>
      <c r="O73" s="132" t="s">
        <v>35</v>
      </c>
      <c r="P73" s="132" t="s">
        <v>35</v>
      </c>
      <c r="Q73" s="132" t="s">
        <v>35</v>
      </c>
      <c r="R73" s="132" t="s">
        <v>35</v>
      </c>
      <c r="S73" s="132" t="s">
        <v>35</v>
      </c>
    </row>
    <row r="74" spans="5:19" ht="15" customHeight="1">
      <c r="E74">
        <v>11</v>
      </c>
      <c r="F74" t="str">
        <f>_xlfn.CONCAT(H74,"mm - ",G74," - ",I74," ",J74," ",K74," ",L74," ",M74," ",N74," ",O74," ",P74," ",Q74," ",R74," ",S74)</f>
        <v>220mm - 11s - 20 20 20 20 20 20 20 20 20 20 20</v>
      </c>
      <c r="G74" s="34" t="s">
        <v>429</v>
      </c>
      <c r="H74">
        <f>SUM(I74:S74)</f>
        <v>220</v>
      </c>
      <c r="I74">
        <v>20</v>
      </c>
      <c r="J74">
        <v>20</v>
      </c>
      <c r="K74">
        <v>20</v>
      </c>
      <c r="L74">
        <v>20</v>
      </c>
      <c r="M74">
        <v>20</v>
      </c>
      <c r="N74">
        <v>20</v>
      </c>
      <c r="O74">
        <v>20</v>
      </c>
      <c r="P74">
        <v>20</v>
      </c>
      <c r="Q74">
        <v>20</v>
      </c>
      <c r="R74">
        <v>20</v>
      </c>
      <c r="S74">
        <v>20</v>
      </c>
    </row>
    <row r="75" spans="5:19" ht="15" customHeight="1">
      <c r="F75" t="str">
        <f>_xlfn.CONCAT(H75,"mm - ",G75," - ",I75," ",J75," ",K75," ",L75," ",M75," ",N75," ",O75," ",P75," ",Q75," ",R75," ",S75)</f>
        <v>380mm - 11s - 30 40 30 40 30 40 30 40 30 40 30</v>
      </c>
      <c r="G75" s="34" t="s">
        <v>429</v>
      </c>
      <c r="H75">
        <f t="shared" ref="H75" si="27">SUM(I75:S75)</f>
        <v>380</v>
      </c>
      <c r="I75">
        <v>30</v>
      </c>
      <c r="J75">
        <v>40</v>
      </c>
      <c r="K75">
        <v>30</v>
      </c>
      <c r="L75">
        <v>40</v>
      </c>
      <c r="M75">
        <v>30</v>
      </c>
      <c r="N75">
        <v>40</v>
      </c>
      <c r="O75">
        <v>30</v>
      </c>
      <c r="P75">
        <v>40</v>
      </c>
      <c r="Q75">
        <v>30</v>
      </c>
      <c r="R75">
        <v>40</v>
      </c>
      <c r="S75">
        <v>30</v>
      </c>
    </row>
    <row r="76" spans="5:19" ht="15" customHeight="1">
      <c r="F76" t="str">
        <f>_xlfn.CONCAT(H76,"mm - ",G76," - ",I76," ",J76," ",K76," ",L76," ",M76," ",N76," ",O76," ",P76," ",Q76," ",R76," ",S76," - user")</f>
        <v>0mm - 11s -            - user</v>
      </c>
      <c r="G76" s="34" t="s">
        <v>429</v>
      </c>
      <c r="H76">
        <f t="shared" ref="H76" si="28">SUM(I76:S76)</f>
        <v>0</v>
      </c>
      <c r="I76" s="182"/>
      <c r="J76" s="182"/>
      <c r="K76" s="182"/>
      <c r="L76" s="182"/>
      <c r="M76" s="182"/>
      <c r="N76" s="182"/>
      <c r="O76" s="182"/>
      <c r="P76" s="182"/>
      <c r="Q76" s="182"/>
      <c r="R76" s="182"/>
      <c r="S76" s="182"/>
    </row>
    <row r="77" spans="5:19" ht="15" customHeight="1"/>
    <row r="78" spans="5:19" ht="15" customHeight="1"/>
    <row r="79" spans="5:19" ht="15" customHeight="1"/>
    <row r="80" spans="5:19" ht="15" customHeight="1"/>
    <row r="81" ht="15" customHeight="1"/>
    <row r="82" ht="15" customHeight="1"/>
    <row r="83" ht="15" customHeight="1"/>
    <row r="84" ht="15" customHeight="1"/>
  </sheetData>
  <sheetProtection algorithmName="SHA-512" hashValue="mHfBi0hn/StqaZaVu0HY3LFEY29nfgtrRIMF0ABNLZ7gO+/dTsszlgYD27NPgSSzxDfZpt5+9rzMKx5DUaL24A==" saltValue="uClOH5dAWRlh1cOBYcTaEQ==" spinCount="100000" sheet="1" objects="1" scenarios="1" selectLockedCells="1"/>
  <mergeCells count="1">
    <mergeCell ref="E4:E5"/>
  </mergeCells>
  <phoneticPr fontId="3" type="noConversion"/>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EE324-D01F-478E-B65C-BD645990E46A}">
  <sheetPr codeName="Foglio6">
    <tabColor theme="4" tint="0.59999389629810485"/>
  </sheetPr>
  <dimension ref="A1:BA98"/>
  <sheetViews>
    <sheetView showGridLines="0" showRowColHeaders="0" zoomScaleNormal="100" workbookViewId="0">
      <selection activeCell="B4" sqref="B4:B5"/>
    </sheetView>
  </sheetViews>
  <sheetFormatPr defaultColWidth="0" defaultRowHeight="15" customHeight="1" zeroHeight="1"/>
  <cols>
    <col min="1" max="2" width="9" customWidth="1"/>
    <col min="3" max="3" width="16.125" bestFit="1" customWidth="1"/>
    <col min="4" max="4" width="9" customWidth="1"/>
    <col min="5" max="5" width="12.375" bestFit="1" customWidth="1"/>
    <col min="6" max="6" width="11" customWidth="1"/>
    <col min="7" max="10" width="9" customWidth="1"/>
    <col min="11" max="11" width="9.75" customWidth="1"/>
    <col min="12" max="17" width="9" customWidth="1"/>
    <col min="18" max="23" width="9" hidden="1" customWidth="1"/>
    <col min="24" max="24" width="12.25" hidden="1" customWidth="1"/>
    <col min="25" max="16384" width="9" hidden="1"/>
  </cols>
  <sheetData>
    <row r="1" spans="2:36" ht="15" customHeight="1"/>
    <row r="2" spans="2:36" ht="15" customHeight="1"/>
    <row r="3" spans="2:36" ht="15" customHeight="1"/>
    <row r="4" spans="2:36" ht="15" customHeight="1">
      <c r="B4" s="258"/>
    </row>
    <row r="5" spans="2:36" ht="15" customHeight="1">
      <c r="B5" s="259"/>
      <c r="C5" s="29" t="str">
        <f>traduzioni!A171</f>
        <v>editable cells</v>
      </c>
    </row>
    <row r="6" spans="2:36" ht="15" customHeight="1"/>
    <row r="7" spans="2:36" ht="15" customHeight="1"/>
    <row r="8" spans="2:36" ht="15" customHeight="1">
      <c r="B8" s="117"/>
      <c r="C8" s="118"/>
      <c r="D8" s="118"/>
      <c r="E8" s="118"/>
      <c r="F8" s="118"/>
      <c r="G8" s="118"/>
      <c r="H8" s="118"/>
      <c r="I8" s="118"/>
      <c r="J8" s="118"/>
      <c r="K8" s="118"/>
      <c r="L8" s="118"/>
      <c r="M8" s="118"/>
      <c r="N8" s="118"/>
      <c r="O8" s="118"/>
      <c r="P8" s="119"/>
      <c r="AD8" t="s">
        <v>176</v>
      </c>
      <c r="AI8" t="s">
        <v>239</v>
      </c>
      <c r="AJ8" t="s">
        <v>220</v>
      </c>
    </row>
    <row r="9" spans="2:36" ht="15" customHeight="1">
      <c r="B9" s="120"/>
      <c r="C9" s="106" t="s">
        <v>18</v>
      </c>
      <c r="D9" s="106"/>
      <c r="E9" s="106"/>
      <c r="F9" s="106" t="s">
        <v>21</v>
      </c>
      <c r="G9" s="106" t="s">
        <v>94</v>
      </c>
      <c r="H9" s="106" t="s">
        <v>175</v>
      </c>
      <c r="I9" s="106" t="s">
        <v>130</v>
      </c>
      <c r="J9" s="106" t="s">
        <v>213</v>
      </c>
      <c r="K9" s="106" t="s">
        <v>216</v>
      </c>
      <c r="M9" s="68" t="str">
        <f>traduzioni!A172</f>
        <v>timber connection coeff.</v>
      </c>
      <c r="N9" s="68"/>
      <c r="O9" s="68"/>
      <c r="P9" s="121"/>
      <c r="AD9" t="s">
        <v>77</v>
      </c>
      <c r="AE9">
        <f>IF('CALCOLI STS (slab to slab)'!L2="NTC 2018 (ITA)",1.4,1.35)</f>
        <v>1.35</v>
      </c>
      <c r="AF9" t="s">
        <v>376</v>
      </c>
      <c r="AH9" s="4">
        <f>((20*F11^-0.5))</f>
        <v>6.6666666666666661</v>
      </c>
      <c r="AI9" s="4">
        <f>2.3*(I11*1000/(20*F11^-0.5*F11))^0.5</f>
        <v>48.970739562858689</v>
      </c>
    </row>
    <row r="10" spans="2:36" ht="15" customHeight="1">
      <c r="B10" s="120"/>
      <c r="C10" s="106"/>
      <c r="D10" s="106"/>
      <c r="E10" s="106"/>
      <c r="F10" s="106" t="s">
        <v>35</v>
      </c>
      <c r="G10" s="106" t="s">
        <v>55</v>
      </c>
      <c r="H10" s="106" t="s">
        <v>100</v>
      </c>
      <c r="I10" s="106" t="s">
        <v>132</v>
      </c>
      <c r="J10" s="106" t="s">
        <v>100</v>
      </c>
      <c r="K10" s="106" t="s">
        <v>35</v>
      </c>
      <c r="M10" t="s">
        <v>77</v>
      </c>
      <c r="N10">
        <f>IF('CALCOLI STS (slab to slab)'!L2="NTC 2018 (ITA)",1.4,1.3)</f>
        <v>1.3</v>
      </c>
      <c r="O10" t="s">
        <v>376</v>
      </c>
      <c r="P10" s="121"/>
      <c r="AD10" t="s">
        <v>78</v>
      </c>
      <c r="AE10">
        <f>VLOOKUP('CALCOLI STS (slab to slab)'!H2,CLT!W9:X14,2,FALSE)</f>
        <v>1</v>
      </c>
      <c r="AF10" t="s">
        <v>376</v>
      </c>
      <c r="AH10" s="4">
        <f>((20*F12^-0.5))</f>
        <v>6.030226891555273</v>
      </c>
      <c r="AI10" s="4">
        <f>2.3*(I12*1000/(20*F12^-0.5*F12))^0.5</f>
        <v>60.502178096441845</v>
      </c>
    </row>
    <row r="11" spans="2:36" ht="15" customHeight="1">
      <c r="B11" s="120"/>
      <c r="C11" s="106" t="s">
        <v>19</v>
      </c>
      <c r="D11" s="68"/>
      <c r="E11" t="str">
        <f>_xlfn.CONCAT(C11,"_",F11)</f>
        <v>VGS_9</v>
      </c>
      <c r="F11">
        <v>9</v>
      </c>
      <c r="G11">
        <v>25.4</v>
      </c>
      <c r="H11">
        <v>12.5</v>
      </c>
      <c r="I11">
        <v>27.2</v>
      </c>
      <c r="J11">
        <v>1000</v>
      </c>
      <c r="K11">
        <v>5.9</v>
      </c>
      <c r="M11" t="s">
        <v>78</v>
      </c>
      <c r="N11">
        <f>VLOOKUP('CALCOLI STS (slab to slab)'!H2,CLT!W9:X14,2,FALSE)</f>
        <v>1</v>
      </c>
      <c r="O11" t="s">
        <v>376</v>
      </c>
      <c r="P11" s="121"/>
      <c r="AD11" t="s">
        <v>313</v>
      </c>
      <c r="AE11">
        <f>IF('CALCOLI STS (slab to slab)'!L2="NTC 2018 (ITA)",1.4,1.3)</f>
        <v>1.3</v>
      </c>
      <c r="AF11" t="s">
        <v>376</v>
      </c>
      <c r="AH11" s="4">
        <f>((20*F13^-0.5))</f>
        <v>5.5470019622522919</v>
      </c>
      <c r="AI11" s="4">
        <f>2.3*(I13*1000/(20*F13^-0.5*F13))^0.5</f>
        <v>72.119069998238089</v>
      </c>
    </row>
    <row r="12" spans="2:36" ht="15" customHeight="1">
      <c r="B12" s="120"/>
      <c r="C12" s="106"/>
      <c r="D12" s="68"/>
      <c r="E12" t="str">
        <f>_xlfn.CONCAT(C11,"_",F12)</f>
        <v>VGS_11</v>
      </c>
      <c r="F12">
        <v>11</v>
      </c>
      <c r="G12">
        <v>38</v>
      </c>
      <c r="H12">
        <v>12.5</v>
      </c>
      <c r="I12">
        <v>45.9</v>
      </c>
      <c r="J12">
        <v>1000</v>
      </c>
      <c r="K12">
        <v>6.6</v>
      </c>
      <c r="P12" s="121"/>
      <c r="AH12" s="4">
        <f>((20*F14^-0.5))</f>
        <v>5</v>
      </c>
      <c r="AI12" s="4">
        <f>2.3*(I14*1000/(20*F14^-0.5*F14))^0.5</f>
        <v>114.99999999999999</v>
      </c>
    </row>
    <row r="13" spans="2:36" ht="15" customHeight="1">
      <c r="B13" s="120"/>
      <c r="C13" s="106"/>
      <c r="D13" s="68"/>
      <c r="E13" t="str">
        <f>_xlfn.CONCAT(C11,"_",F13)</f>
        <v>VGS_13</v>
      </c>
      <c r="F13">
        <v>13</v>
      </c>
      <c r="G13">
        <v>53</v>
      </c>
      <c r="H13">
        <v>12.5</v>
      </c>
      <c r="I13">
        <v>70.900000000000006</v>
      </c>
      <c r="J13">
        <v>1000</v>
      </c>
      <c r="K13">
        <v>8</v>
      </c>
      <c r="M13" s="68" t="str">
        <f>traduzioni!A173</f>
        <v>steel material coeff.</v>
      </c>
      <c r="N13" s="68"/>
      <c r="O13" s="68"/>
      <c r="P13" s="121"/>
      <c r="AD13" t="s">
        <v>385</v>
      </c>
      <c r="AI13" s="4"/>
    </row>
    <row r="14" spans="2:36" ht="15" customHeight="1">
      <c r="B14" s="120"/>
      <c r="C14" s="106" t="s">
        <v>20</v>
      </c>
      <c r="D14" s="68"/>
      <c r="E14" t="str">
        <f>_xlfn.CONCAT(C14,"_",F14)</f>
        <v>RTR_16</v>
      </c>
      <c r="F14">
        <v>16</v>
      </c>
      <c r="G14">
        <v>100</v>
      </c>
      <c r="H14">
        <v>9</v>
      </c>
      <c r="I14">
        <v>200</v>
      </c>
      <c r="J14">
        <v>650</v>
      </c>
      <c r="K14">
        <v>12</v>
      </c>
      <c r="M14" t="s">
        <v>77</v>
      </c>
      <c r="N14">
        <f>IF('CALCOLI STS (slab to slab)'!L2="NTC 2018 (ITA)",1.25,1.25)</f>
        <v>1.25</v>
      </c>
      <c r="O14" t="s">
        <v>376</v>
      </c>
      <c r="P14" s="121"/>
      <c r="AD14" t="s">
        <v>77</v>
      </c>
      <c r="AE14">
        <f>IF('CALCOLI STS (slab to slab)'!L2="NTC 2018 (ITA)",1.25,1.25)</f>
        <v>1.25</v>
      </c>
      <c r="AF14" t="s">
        <v>376</v>
      </c>
    </row>
    <row r="15" spans="2:36" ht="15" customHeight="1">
      <c r="B15" s="120"/>
      <c r="P15" s="121"/>
    </row>
    <row r="16" spans="2:36" ht="15" customHeight="1">
      <c r="B16" s="120"/>
      <c r="M16" s="68" t="str">
        <f>traduzioni!A174</f>
        <v>concrete material coeff.</v>
      </c>
      <c r="N16" s="68"/>
      <c r="O16" s="68"/>
      <c r="P16" s="121"/>
      <c r="AD16" t="s">
        <v>23</v>
      </c>
    </row>
    <row r="17" spans="2:53" ht="15" customHeight="1">
      <c r="B17" s="120"/>
      <c r="M17" t="s">
        <v>77</v>
      </c>
      <c r="N17">
        <f>CONCRETE!H26</f>
        <v>1.5</v>
      </c>
      <c r="O17" t="s">
        <v>376</v>
      </c>
      <c r="P17" s="121"/>
      <c r="AD17" t="s">
        <v>77</v>
      </c>
      <c r="AE17">
        <f>CONCRETE!H26</f>
        <v>1.5</v>
      </c>
      <c r="AF17" t="s">
        <v>376</v>
      </c>
    </row>
    <row r="18" spans="2:53" ht="15" customHeight="1">
      <c r="B18" s="120"/>
      <c r="M18" s="1" t="s">
        <v>184</v>
      </c>
      <c r="N18">
        <f>CONCRETE!H27</f>
        <v>0.85</v>
      </c>
      <c r="O18" t="s">
        <v>376</v>
      </c>
      <c r="P18" s="121"/>
      <c r="AD18" s="1" t="s">
        <v>184</v>
      </c>
      <c r="AE18">
        <f>CONCRETE!H27</f>
        <v>0.85</v>
      </c>
      <c r="AF18" t="s">
        <v>376</v>
      </c>
      <c r="AX18" t="s">
        <v>199</v>
      </c>
      <c r="AZ18" s="30">
        <v>1.5</v>
      </c>
    </row>
    <row r="19" spans="2:53" ht="15" customHeight="1">
      <c r="B19" s="120"/>
      <c r="M19" s="1" t="s">
        <v>330</v>
      </c>
      <c r="N19">
        <f>CONCRETE!H28</f>
        <v>1</v>
      </c>
      <c r="O19" t="s">
        <v>376</v>
      </c>
      <c r="P19" s="121"/>
      <c r="AD19" s="1" t="s">
        <v>330</v>
      </c>
      <c r="AE19">
        <f>CONCRETE!H28</f>
        <v>1</v>
      </c>
      <c r="AF19" t="s">
        <v>376</v>
      </c>
    </row>
    <row r="20" spans="2:53" ht="15" customHeight="1">
      <c r="B20" s="122"/>
      <c r="C20" s="115"/>
      <c r="D20" s="115"/>
      <c r="E20" s="115"/>
      <c r="F20" s="115"/>
      <c r="G20" s="115"/>
      <c r="H20" s="115"/>
      <c r="I20" s="115"/>
      <c r="J20" s="115"/>
      <c r="K20" s="115"/>
      <c r="L20" s="115"/>
      <c r="M20" s="115"/>
      <c r="N20" s="115"/>
      <c r="O20" s="115"/>
      <c r="P20" s="123"/>
    </row>
    <row r="21" spans="2:53" ht="15" customHeight="1"/>
    <row r="22" spans="2:53" ht="15" customHeight="1">
      <c r="AL22" s="29" t="s">
        <v>196</v>
      </c>
      <c r="AM22" s="29"/>
      <c r="AN22" s="29"/>
      <c r="AO22" s="29"/>
      <c r="AR22" s="29" t="s">
        <v>197</v>
      </c>
      <c r="AS22" s="29"/>
      <c r="AT22" s="29"/>
      <c r="AU22" s="29"/>
      <c r="AX22" s="29" t="s">
        <v>198</v>
      </c>
      <c r="AY22" s="29"/>
      <c r="AZ22" s="29"/>
      <c r="BA22" s="29"/>
    </row>
    <row r="23" spans="2:53" ht="15" customHeight="1">
      <c r="C23" s="29" t="s">
        <v>675</v>
      </c>
      <c r="D23" s="29" t="str">
        <f>'CALCOLI STS (slab to slab)'!H22</f>
        <v>VGS_11</v>
      </c>
      <c r="E23" s="29">
        <f>'CALCOLI STS (slab to slab)'!H24</f>
        <v>11</v>
      </c>
    </row>
    <row r="24" spans="2:53" ht="15" customHeight="1">
      <c r="AB24" t="s">
        <v>189</v>
      </c>
      <c r="AM24" t="s">
        <v>191</v>
      </c>
      <c r="AO24" t="s">
        <v>192</v>
      </c>
      <c r="AS24" t="s">
        <v>191</v>
      </c>
      <c r="AU24" t="s">
        <v>192</v>
      </c>
      <c r="AY24" t="s">
        <v>191</v>
      </c>
      <c r="BA24" t="s">
        <v>192</v>
      </c>
    </row>
    <row r="25" spans="2:53" ht="15" customHeight="1" thickBot="1">
      <c r="B25" s="273" t="str">
        <f>traduzioni!A175</f>
        <v>AXIAL CAPACITY - CONCRETE</v>
      </c>
      <c r="C25" s="274"/>
      <c r="D25" s="274"/>
      <c r="E25" s="274"/>
      <c r="F25" s="275"/>
      <c r="G25" s="279" t="str">
        <f>traduzioni!A176</f>
        <v>AXIAL CAPACITY - TIMBER</v>
      </c>
      <c r="H25" s="280"/>
      <c r="I25" s="280"/>
      <c r="J25" s="280"/>
      <c r="K25" s="281"/>
      <c r="AB25" t="s">
        <v>195</v>
      </c>
      <c r="AF25" t="s">
        <v>183</v>
      </c>
      <c r="AL25" t="s">
        <v>193</v>
      </c>
      <c r="AM25" t="s">
        <v>190</v>
      </c>
      <c r="AN25" t="s">
        <v>193</v>
      </c>
      <c r="AR25" t="s">
        <v>193</v>
      </c>
      <c r="AS25" t="s">
        <v>190</v>
      </c>
      <c r="AT25" t="s">
        <v>193</v>
      </c>
      <c r="AX25" t="s">
        <v>193</v>
      </c>
      <c r="AY25" t="s">
        <v>190</v>
      </c>
      <c r="AZ25" t="s">
        <v>193</v>
      </c>
    </row>
    <row r="26" spans="2:53" ht="15" customHeight="1">
      <c r="B26" s="276"/>
      <c r="C26" s="277"/>
      <c r="D26" s="277"/>
      <c r="E26" s="277"/>
      <c r="F26" s="278"/>
      <c r="G26" s="282"/>
      <c r="H26" s="283"/>
      <c r="I26" s="283"/>
      <c r="J26" s="283"/>
      <c r="K26" s="284"/>
      <c r="AB26" s="19" t="s">
        <v>180</v>
      </c>
      <c r="AC26" s="20" t="s">
        <v>179</v>
      </c>
      <c r="AD26" s="20" t="s">
        <v>306</v>
      </c>
      <c r="AE26" s="21" t="s">
        <v>305</v>
      </c>
      <c r="AF26" s="19" t="s">
        <v>180</v>
      </c>
      <c r="AG26" s="20" t="s">
        <v>179</v>
      </c>
      <c r="AH26" s="20"/>
      <c r="AI26" s="19" t="s">
        <v>180</v>
      </c>
      <c r="AJ26" s="21" t="s">
        <v>179</v>
      </c>
    </row>
    <row r="27" spans="2:53" ht="15" customHeight="1">
      <c r="B27" s="120"/>
      <c r="F27" s="121"/>
      <c r="G27" s="120"/>
      <c r="K27" s="121"/>
      <c r="Y27" t="s">
        <v>21</v>
      </c>
      <c r="Z27" t="s">
        <v>22</v>
      </c>
      <c r="AA27" s="27" t="s">
        <v>188</v>
      </c>
      <c r="AB27" s="22" t="s">
        <v>186</v>
      </c>
      <c r="AC27" t="s">
        <v>185</v>
      </c>
      <c r="AD27" s="27" t="s">
        <v>194</v>
      </c>
      <c r="AE27" s="28" t="s">
        <v>187</v>
      </c>
      <c r="AF27" s="22"/>
      <c r="AG27" t="s">
        <v>178</v>
      </c>
      <c r="AI27" s="27" t="s">
        <v>181</v>
      </c>
      <c r="AJ27" s="28" t="s">
        <v>182</v>
      </c>
      <c r="AK27" s="27"/>
    </row>
    <row r="28" spans="2:53" ht="15" customHeight="1">
      <c r="B28" s="120"/>
      <c r="C28" s="68" t="s">
        <v>88</v>
      </c>
      <c r="D28">
        <f>'CALCOLI STS (slab to slab)'!H54</f>
        <v>160</v>
      </c>
      <c r="E28" t="s">
        <v>35</v>
      </c>
      <c r="F28" s="121"/>
      <c r="G28" s="120"/>
      <c r="K28" s="121"/>
      <c r="W28" t="str">
        <f t="shared" ref="W28:W38" si="0">$E$11</f>
        <v>VGS_9</v>
      </c>
      <c r="X28" t="str">
        <f>_xlfn.CONCAT(W28,"_",Z28)</f>
        <v>VGS_9_300</v>
      </c>
      <c r="Y28" t="str">
        <f t="shared" ref="Y28:Y38" si="1">IF(MID(W28,5,1)&lt;=9,MID(W28,5,1),MID(W28,5,2))</f>
        <v>9</v>
      </c>
      <c r="Z28">
        <v>300</v>
      </c>
      <c r="AA28">
        <f t="shared" ref="AA28:AA38" si="2">$G$11/$AE$14</f>
        <v>20.32</v>
      </c>
      <c r="AB28" s="22">
        <f>Z28-AF28-25</f>
        <v>125</v>
      </c>
      <c r="AC28" s="4">
        <f>Z28-AG28</f>
        <v>200</v>
      </c>
      <c r="AD28" s="4">
        <f t="shared" ref="AD28" si="3">((20*(Y28^0.8)*AB28^0.9)/1000)*$AE$10/$AE$9</f>
        <v>6.6268821362511883</v>
      </c>
      <c r="AE28" s="25">
        <f t="shared" ref="AE28" si="4">((20*(Y28^0.8)*AC28^0.9)/1000)*$AE$10/$AE$9</f>
        <v>10.116195899005666</v>
      </c>
      <c r="AF28" s="39">
        <f>MAX(14*Y28,150)</f>
        <v>150</v>
      </c>
      <c r="AG28" s="15">
        <f>MAX(9*Y28,100)</f>
        <v>100</v>
      </c>
      <c r="AH28" s="42">
        <f t="shared" ref="AH28" si="5">VLOOKUP(W28,$E$11:$I$14,4,FALSE)</f>
        <v>12.5</v>
      </c>
      <c r="AI28" s="4">
        <f t="shared" ref="AI28" si="6">((Y28*PI())*AF28)*(AH28*$AE$18/$AE$17)/1000</f>
        <v>30.041479749952398</v>
      </c>
      <c r="AJ28" s="25">
        <f t="shared" ref="AJ28" si="7">((Y28*PI())*AG28)*(AH28*$AE$18/$AE$17)/1000</f>
        <v>20.027653166634931</v>
      </c>
      <c r="AK28" s="4"/>
      <c r="AL28" s="4" t="e">
        <f>MIN(#REF!,#REF!,#REF!)</f>
        <v>#REF!</v>
      </c>
      <c r="AM28" t="e">
        <f>IF(AL28=AA28,"ACCIAIO",IF(AL28=AD28,"LEGNO",IF(AL28=AI28," CALCESTRUZZO")))</f>
        <v>#REF!</v>
      </c>
      <c r="AN28" s="4" t="e">
        <f>MIN(#REF!,#REF!,#REF!)</f>
        <v>#REF!</v>
      </c>
      <c r="AO28" t="e">
        <f>IF(AN28=AA28,"ACCIAIO",IF(AN28=AE28,"LEGNO",IF(AN28=AJ28,"CALCESTRUZZO")))</f>
        <v>#REF!</v>
      </c>
      <c r="AR28" s="4">
        <f t="shared" ref="AR28" si="8">MIN(AA28*$AE$14,AD28*$AE$9/$AE$10,AI28*$AE$17/$AE$18)</f>
        <v>8.9462908839391044</v>
      </c>
      <c r="AS28" t="str">
        <f t="shared" ref="AS28" si="9">IF(AR28=AA28*$AE$14,"ACCIAIO",IF(AR28=AD28*$AE$9/$AE$10,"LEGNO",IF(AR28=AI28*$AE$17/$AE$18," CALCESTRUZZO")))</f>
        <v>LEGNO</v>
      </c>
      <c r="AT28" s="4">
        <f t="shared" ref="AT28" si="10">MIN(AA28*$AE$14,AE28*$AE$9/$AE$10,AJ28*$AE$17/$AE$18)</f>
        <v>13.65686446365765</v>
      </c>
      <c r="AU28" t="str">
        <f t="shared" ref="AU28" si="11">IF(AT28=AA28*$AE$14,"ACCIAIO",IF(AT28=AE28*$AE$9/$AE$10,"LEGNO",IF(AT28=AJ28*$AE$17/$AE$18," CALCESTRUZZO")))</f>
        <v>LEGNO</v>
      </c>
      <c r="AX28" s="4">
        <f t="shared" ref="AX28" si="12">MIN(AA28*$AE$14,$AZ$18*AD28*$AE$9/$AE$10,AI28*$AE$17/$AE$18)</f>
        <v>13.419436325908656</v>
      </c>
      <c r="AY28" t="str">
        <f t="shared" ref="AY28" si="13">IF(AX28=AA28*$AE$14,"ACCIAIO",IF(AX28=$AZ$18*AD28*$AE$9/$AE$10,"LEGNO",IF(AX28=AI28*$AE$17/$AE$18," CALCESTRUZZO")))</f>
        <v>LEGNO</v>
      </c>
      <c r="AZ28" s="4">
        <f t="shared" ref="AZ28" si="14">MIN(AA28*$AE$14,$AZ$18*AE28*$AE$9/$AE$10,AJ28*$AE$17/$AE$18)</f>
        <v>20.485296695486472</v>
      </c>
      <c r="BA28" t="str">
        <f t="shared" ref="BA28" si="15">IF(AZ28=AA28*$AE$14,"ACCIAIO",IF(AZ28=$AZ$18*AE28*$AE$9/$AE$10,"LEGNO",IF(AZ28=AJ28*$AE$17/$AE$18," CALCESTRUZZO")))</f>
        <v>LEGNO</v>
      </c>
    </row>
    <row r="29" spans="2:53" ht="15" customHeight="1">
      <c r="B29" s="120"/>
      <c r="C29" s="68" t="s">
        <v>175</v>
      </c>
      <c r="D29" s="4">
        <f>VLOOKUP(D23,E11:I14,4,FALSE)*D34</f>
        <v>12.5</v>
      </c>
      <c r="E29" t="s">
        <v>100</v>
      </c>
      <c r="F29" s="192" t="s">
        <v>667</v>
      </c>
      <c r="G29" s="120"/>
      <c r="H29" s="68" t="s">
        <v>387</v>
      </c>
      <c r="I29">
        <f>CLT!N14</f>
        <v>380</v>
      </c>
      <c r="J29" t="s">
        <v>91</v>
      </c>
      <c r="K29" s="121"/>
      <c r="W29" t="str">
        <f t="shared" si="0"/>
        <v>VGS_9</v>
      </c>
      <c r="X29" t="str">
        <f t="shared" ref="X29:X72" si="16">_xlfn.CONCAT(W29,"_",Z29)</f>
        <v>VGS_9_320</v>
      </c>
      <c r="Y29" t="str">
        <f t="shared" si="1"/>
        <v>9</v>
      </c>
      <c r="Z29">
        <f t="shared" ref="Z29:Z33" si="17">Z28+20</f>
        <v>320</v>
      </c>
      <c r="AA29">
        <f t="shared" si="2"/>
        <v>20.32</v>
      </c>
      <c r="AB29" s="22">
        <f t="shared" ref="AB29:AB35" si="18">Z29-AF29-25</f>
        <v>145</v>
      </c>
      <c r="AC29" s="4">
        <f t="shared" ref="AC29:AC35" si="19">Z29-AG29</f>
        <v>220</v>
      </c>
      <c r="AD29" s="4">
        <f t="shared" ref="AD29:AD38" si="20">((20*(Y29^0.8)*AB29^0.9)/1000)*$AE$10/$AE$9</f>
        <v>7.5739326120693402</v>
      </c>
      <c r="AE29" s="25">
        <f t="shared" ref="AE29:AE38" si="21">((20*(Y29^0.8)*AC29^0.9)/1000)*$AE$10/$AE$9</f>
        <v>11.022259904542036</v>
      </c>
      <c r="AF29" s="39">
        <f t="shared" ref="AF29:AF52" si="22">MAX(14*Y29,150)</f>
        <v>150</v>
      </c>
      <c r="AG29" s="15">
        <f t="shared" ref="AG29:AG38" si="23">MAX(9*Y29,100)</f>
        <v>100</v>
      </c>
      <c r="AH29" s="42">
        <f t="shared" ref="AH29:AH38" si="24">VLOOKUP(W29,$E$11:$I$14,4,FALSE)</f>
        <v>12.5</v>
      </c>
      <c r="AI29" s="4">
        <f t="shared" ref="AI29:AI38" si="25">((Y29*PI())*AF29)*(AH29*$AE$18/$AE$17)/1000</f>
        <v>30.041479749952398</v>
      </c>
      <c r="AJ29" s="25">
        <f t="shared" ref="AJ29:AJ38" si="26">((Y29*PI())*AG29)*(AH29*$AE$18/$AE$17)/1000</f>
        <v>20.027653166634931</v>
      </c>
      <c r="AK29" s="4"/>
      <c r="AL29" s="4">
        <f t="shared" ref="AL29:AL95" si="27">MIN(AA29,AD29,AI29)</f>
        <v>7.5739326120693402</v>
      </c>
      <c r="AM29" t="str">
        <f t="shared" ref="AM29:AM98" si="28">IF(AL29=AA29,"ACCIAIO",IF(AL29=AD29,"LEGNO",IF(AL29=AI29," CALCESTRUZZO")))</f>
        <v>LEGNO</v>
      </c>
      <c r="AN29" s="4">
        <f t="shared" ref="AN29:AN98" si="29">MIN(AA29,AE29,AJ29)</f>
        <v>11.022259904542036</v>
      </c>
      <c r="AO29" t="str">
        <f t="shared" ref="AO29:AO98" si="30">IF(AN29=AA29,"ACCIAIO",IF(AN29=AE29,"LEGNO",IF(AN29=AJ29,"CALCESTRUZZO")))</f>
        <v>LEGNO</v>
      </c>
      <c r="AR29" s="4">
        <f t="shared" ref="AR29:AR38" si="31">MIN(AA29*$AE$14,AD29*$AE$9/$AE$10,AI29*$AE$17/$AE$18)</f>
        <v>10.22480902629361</v>
      </c>
      <c r="AS29" t="str">
        <f t="shared" ref="AS29:AS38" si="32">IF(AR29=AA29*$AE$14,"ACCIAIO",IF(AR29=AD29*$AE$9/$AE$10,"LEGNO",IF(AR29=AI29*$AE$17/$AE$18," CALCESTRUZZO")))</f>
        <v>LEGNO</v>
      </c>
      <c r="AT29" s="4">
        <f t="shared" ref="AT29:AT38" si="33">MIN(AA29*$AE$14,AE29*$AE$9/$AE$10,AJ29*$AE$17/$AE$18)</f>
        <v>14.880050871131749</v>
      </c>
      <c r="AU29" t="str">
        <f t="shared" ref="AU29:AU38" si="34">IF(AT29=AA29*$AE$14,"ACCIAIO",IF(AT29=AE29*$AE$9/$AE$10,"LEGNO",IF(AT29=AJ29*$AE$17/$AE$18," CALCESTRUZZO")))</f>
        <v>LEGNO</v>
      </c>
      <c r="AX29" s="4">
        <f t="shared" ref="AX29:AX38" si="35">MIN(AA29*$AE$14,$AZ$18*AD29*$AE$9/$AE$10,AI29*$AE$17/$AE$18)</f>
        <v>15.337213539440414</v>
      </c>
      <c r="AY29" t="str">
        <f t="shared" ref="AY29:AY38" si="36">IF(AX29=AA29*$AE$14,"ACCIAIO",IF(AX29=$AZ$18*AD29*$AE$9/$AE$10,"LEGNO",IF(AX29=AI29*$AE$17/$AE$18," CALCESTRUZZO")))</f>
        <v>LEGNO</v>
      </c>
      <c r="AZ29" s="4">
        <f t="shared" ref="AZ29:AZ38" si="37">MIN(AA29*$AE$14,$AZ$18*AE29*$AE$9/$AE$10,AJ29*$AE$17/$AE$18)</f>
        <v>22.320076306697622</v>
      </c>
      <c r="BA29" t="str">
        <f t="shared" ref="BA29:BA38" si="38">IF(AZ29=AA29*$AE$14,"ACCIAIO",IF(AZ29=$AZ$18*AE29*$AE$9/$AE$10,"LEGNO",IF(AZ29=AJ29*$AE$17/$AE$18," CALCESTRUZZO")))</f>
        <v>LEGNO</v>
      </c>
    </row>
    <row r="30" spans="2:53" ht="15" customHeight="1">
      <c r="B30" s="120"/>
      <c r="C30" s="68" t="s">
        <v>99</v>
      </c>
      <c r="D30" s="4">
        <f>D29*AE19/AE17</f>
        <v>8.3333333333333339</v>
      </c>
      <c r="E30" t="s">
        <v>100</v>
      </c>
      <c r="F30" s="121"/>
      <c r="G30" s="120"/>
      <c r="H30" s="68" t="s">
        <v>88</v>
      </c>
      <c r="I30">
        <f>'CALCOLI STS (slab to slab)'!H59</f>
        <v>260</v>
      </c>
      <c r="J30" t="s">
        <v>35</v>
      </c>
      <c r="K30" s="121"/>
      <c r="W30" t="str">
        <f t="shared" si="0"/>
        <v>VGS_9</v>
      </c>
      <c r="X30" t="str">
        <f t="shared" si="16"/>
        <v>VGS_9_340</v>
      </c>
      <c r="Y30" t="str">
        <f t="shared" si="1"/>
        <v>9</v>
      </c>
      <c r="Z30">
        <f t="shared" si="17"/>
        <v>340</v>
      </c>
      <c r="AA30">
        <f t="shared" si="2"/>
        <v>20.32</v>
      </c>
      <c r="AB30" s="22">
        <f t="shared" si="18"/>
        <v>165</v>
      </c>
      <c r="AC30" s="4">
        <f t="shared" si="19"/>
        <v>240</v>
      </c>
      <c r="AD30" s="4">
        <f t="shared" si="20"/>
        <v>8.5079667606959326</v>
      </c>
      <c r="AE30" s="25">
        <f t="shared" si="21"/>
        <v>11.920112446194445</v>
      </c>
      <c r="AF30" s="39">
        <f t="shared" si="22"/>
        <v>150</v>
      </c>
      <c r="AG30" s="15">
        <f t="shared" si="23"/>
        <v>100</v>
      </c>
      <c r="AH30" s="42">
        <f t="shared" si="24"/>
        <v>12.5</v>
      </c>
      <c r="AI30" s="4">
        <f t="shared" si="25"/>
        <v>30.041479749952398</v>
      </c>
      <c r="AJ30" s="25">
        <f t="shared" si="26"/>
        <v>20.027653166634931</v>
      </c>
      <c r="AK30" s="4"/>
      <c r="AL30" s="4">
        <f t="shared" si="27"/>
        <v>8.5079667606959326</v>
      </c>
      <c r="AM30" t="str">
        <f t="shared" si="28"/>
        <v>LEGNO</v>
      </c>
      <c r="AN30" s="4">
        <f t="shared" si="29"/>
        <v>11.920112446194445</v>
      </c>
      <c r="AO30" t="str">
        <f t="shared" si="30"/>
        <v>LEGNO</v>
      </c>
      <c r="AR30" s="4">
        <f t="shared" si="31"/>
        <v>11.485755126939511</v>
      </c>
      <c r="AS30" t="str">
        <f t="shared" si="32"/>
        <v>LEGNO</v>
      </c>
      <c r="AT30" s="4">
        <f t="shared" si="33"/>
        <v>16.092151802362501</v>
      </c>
      <c r="AU30" t="str">
        <f t="shared" si="34"/>
        <v>LEGNO</v>
      </c>
      <c r="AX30" s="4">
        <f t="shared" si="35"/>
        <v>17.228632690409263</v>
      </c>
      <c r="AY30" t="str">
        <f t="shared" si="36"/>
        <v>LEGNO</v>
      </c>
      <c r="AZ30" s="4">
        <f t="shared" si="37"/>
        <v>24.138227703543752</v>
      </c>
      <c r="BA30" t="str">
        <f t="shared" si="38"/>
        <v>LEGNO</v>
      </c>
    </row>
    <row r="31" spans="2:53" ht="15" customHeight="1">
      <c r="B31" s="120"/>
      <c r="C31" s="68" t="s">
        <v>177</v>
      </c>
      <c r="D31" s="4">
        <f>((E23*PI())*D28)*D29/1000</f>
        <v>69.115038378975441</v>
      </c>
      <c r="E31" t="s">
        <v>55</v>
      </c>
      <c r="F31" s="192" t="s">
        <v>651</v>
      </c>
      <c r="G31" s="120"/>
      <c r="H31" s="68" t="s">
        <v>92</v>
      </c>
      <c r="I31">
        <f>VLOOKUP(D23,E11:G14,3,FALSE)/AE14</f>
        <v>30.4</v>
      </c>
      <c r="J31" t="s">
        <v>55</v>
      </c>
      <c r="K31" s="121"/>
      <c r="W31" t="str">
        <f t="shared" si="0"/>
        <v>VGS_9</v>
      </c>
      <c r="X31" t="str">
        <f t="shared" si="16"/>
        <v>VGS_9_360</v>
      </c>
      <c r="Y31" t="str">
        <f t="shared" si="1"/>
        <v>9</v>
      </c>
      <c r="Z31">
        <f t="shared" si="17"/>
        <v>360</v>
      </c>
      <c r="AA31">
        <f t="shared" si="2"/>
        <v>20.32</v>
      </c>
      <c r="AB31" s="22">
        <f t="shared" si="18"/>
        <v>185</v>
      </c>
      <c r="AC31" s="4">
        <f t="shared" si="19"/>
        <v>260</v>
      </c>
      <c r="AD31" s="4">
        <f t="shared" si="20"/>
        <v>9.4307186868894615</v>
      </c>
      <c r="AE31" s="25">
        <f t="shared" si="21"/>
        <v>12.810504928857574</v>
      </c>
      <c r="AF31" s="39">
        <f t="shared" si="22"/>
        <v>150</v>
      </c>
      <c r="AG31" s="15">
        <f t="shared" si="23"/>
        <v>100</v>
      </c>
      <c r="AH31" s="42">
        <f t="shared" si="24"/>
        <v>12.5</v>
      </c>
      <c r="AI31" s="4">
        <f t="shared" si="25"/>
        <v>30.041479749952398</v>
      </c>
      <c r="AJ31" s="25">
        <f t="shared" si="26"/>
        <v>20.027653166634931</v>
      </c>
      <c r="AK31" s="4"/>
      <c r="AL31" s="4">
        <f t="shared" si="27"/>
        <v>9.4307186868894615</v>
      </c>
      <c r="AM31" t="str">
        <f t="shared" si="28"/>
        <v>LEGNO</v>
      </c>
      <c r="AN31" s="4">
        <f t="shared" si="29"/>
        <v>12.810504928857574</v>
      </c>
      <c r="AO31" t="str">
        <f t="shared" si="30"/>
        <v>LEGNO</v>
      </c>
      <c r="AR31" s="4">
        <f t="shared" si="31"/>
        <v>12.731470227300774</v>
      </c>
      <c r="AS31" t="str">
        <f t="shared" si="32"/>
        <v>LEGNO</v>
      </c>
      <c r="AT31" s="4">
        <f t="shared" si="33"/>
        <v>17.294181653957725</v>
      </c>
      <c r="AU31" t="str">
        <f t="shared" si="34"/>
        <v>LEGNO</v>
      </c>
      <c r="AX31" s="4">
        <f t="shared" si="35"/>
        <v>19.09720534095116</v>
      </c>
      <c r="AY31" t="str">
        <f t="shared" si="36"/>
        <v>LEGNO</v>
      </c>
      <c r="AZ31" s="4">
        <f t="shared" si="37"/>
        <v>25.4</v>
      </c>
      <c r="BA31" t="str">
        <f t="shared" si="38"/>
        <v>ACCIAIO</v>
      </c>
    </row>
    <row r="32" spans="2:53" ht="15" customHeight="1">
      <c r="B32" s="120"/>
      <c r="C32" s="68" t="s">
        <v>174</v>
      </c>
      <c r="D32" s="4">
        <f>((E23*PI())*D28)*D30/1000</f>
        <v>46.076692252650297</v>
      </c>
      <c r="E32" t="s">
        <v>55</v>
      </c>
      <c r="G32" s="120"/>
      <c r="H32" s="68" t="s">
        <v>93</v>
      </c>
      <c r="I32" s="4">
        <f>IF(D23=W84,(((15*(E23^0.8)*I30^0.9)/1000)*AE10/AE11),(((20*(E23^0.8)*I30^0.9)/1000)*AE10/AE11))</f>
        <v>15.619848046965735</v>
      </c>
      <c r="J32" t="s">
        <v>55</v>
      </c>
      <c r="K32" s="191" t="s">
        <v>668</v>
      </c>
      <c r="W32" t="str">
        <f t="shared" si="0"/>
        <v>VGS_9</v>
      </c>
      <c r="X32" t="str">
        <f t="shared" si="16"/>
        <v>VGS_9_380</v>
      </c>
      <c r="Y32" t="str">
        <f>IF(MID(W32,5,1)&lt;=9,MID(W32,5,1),MID(W32,5,2))</f>
        <v>9</v>
      </c>
      <c r="Z32">
        <f t="shared" si="17"/>
        <v>380</v>
      </c>
      <c r="AA32">
        <f t="shared" si="2"/>
        <v>20.32</v>
      </c>
      <c r="AB32" s="22">
        <f t="shared" si="18"/>
        <v>205</v>
      </c>
      <c r="AC32" s="4">
        <f t="shared" si="19"/>
        <v>280</v>
      </c>
      <c r="AD32" s="4">
        <f t="shared" si="20"/>
        <v>10.343528363096002</v>
      </c>
      <c r="AE32" s="25">
        <f t="shared" si="21"/>
        <v>13.694067458781339</v>
      </c>
      <c r="AF32" s="39">
        <f t="shared" si="22"/>
        <v>150</v>
      </c>
      <c r="AG32" s="15">
        <f t="shared" si="23"/>
        <v>100</v>
      </c>
      <c r="AH32" s="42">
        <f t="shared" si="24"/>
        <v>12.5</v>
      </c>
      <c r="AI32" s="4">
        <f t="shared" si="25"/>
        <v>30.041479749952398</v>
      </c>
      <c r="AJ32" s="25">
        <f t="shared" si="26"/>
        <v>20.027653166634931</v>
      </c>
      <c r="AK32" s="4"/>
      <c r="AL32" s="4">
        <f t="shared" si="27"/>
        <v>10.343528363096002</v>
      </c>
      <c r="AM32" t="str">
        <f t="shared" si="28"/>
        <v>LEGNO</v>
      </c>
      <c r="AN32" s="4">
        <f t="shared" si="29"/>
        <v>13.694067458781339</v>
      </c>
      <c r="AO32" t="str">
        <f t="shared" si="30"/>
        <v>LEGNO</v>
      </c>
      <c r="AR32" s="4">
        <f t="shared" si="31"/>
        <v>13.963763290179603</v>
      </c>
      <c r="AS32" t="str">
        <f t="shared" si="32"/>
        <v>LEGNO</v>
      </c>
      <c r="AT32" s="4">
        <f t="shared" si="33"/>
        <v>18.486991069354808</v>
      </c>
      <c r="AU32" t="str">
        <f t="shared" si="34"/>
        <v>LEGNO</v>
      </c>
      <c r="AX32" s="4">
        <f t="shared" si="35"/>
        <v>20.945644935269407</v>
      </c>
      <c r="AY32" t="str">
        <f t="shared" si="36"/>
        <v>LEGNO</v>
      </c>
      <c r="AZ32" s="4">
        <f t="shared" si="37"/>
        <v>25.4</v>
      </c>
      <c r="BA32" t="str">
        <f t="shared" si="38"/>
        <v>ACCIAIO</v>
      </c>
    </row>
    <row r="33" spans="2:53" ht="15" customHeight="1">
      <c r="B33" s="120"/>
      <c r="F33" s="121"/>
      <c r="G33" s="120"/>
      <c r="H33" s="68"/>
      <c r="K33" s="121"/>
      <c r="W33" t="str">
        <f t="shared" si="0"/>
        <v>VGS_9</v>
      </c>
      <c r="X33" t="str">
        <f t="shared" si="16"/>
        <v>VGS_9_400</v>
      </c>
      <c r="Y33" t="str">
        <f t="shared" si="1"/>
        <v>9</v>
      </c>
      <c r="Z33">
        <f t="shared" si="17"/>
        <v>400</v>
      </c>
      <c r="AA33">
        <f t="shared" si="2"/>
        <v>20.32</v>
      </c>
      <c r="AB33" s="22">
        <f t="shared" si="18"/>
        <v>225</v>
      </c>
      <c r="AC33" s="4">
        <f t="shared" si="19"/>
        <v>300</v>
      </c>
      <c r="AD33" s="4">
        <f t="shared" si="20"/>
        <v>11.247461131420955</v>
      </c>
      <c r="AE33" s="25">
        <f t="shared" si="21"/>
        <v>14.571335707312436</v>
      </c>
      <c r="AF33" s="39">
        <f t="shared" si="22"/>
        <v>150</v>
      </c>
      <c r="AG33" s="15">
        <f t="shared" si="23"/>
        <v>100</v>
      </c>
      <c r="AH33" s="42">
        <f t="shared" si="24"/>
        <v>12.5</v>
      </c>
      <c r="AI33" s="4">
        <f t="shared" si="25"/>
        <v>30.041479749952398</v>
      </c>
      <c r="AJ33" s="25">
        <f t="shared" si="26"/>
        <v>20.027653166634931</v>
      </c>
      <c r="AK33" s="4"/>
      <c r="AL33" s="4">
        <f t="shared" si="27"/>
        <v>11.247461131420955</v>
      </c>
      <c r="AM33" t="str">
        <f t="shared" si="28"/>
        <v>LEGNO</v>
      </c>
      <c r="AN33" s="4">
        <f t="shared" si="29"/>
        <v>14.571335707312436</v>
      </c>
      <c r="AO33" t="str">
        <f t="shared" si="30"/>
        <v>LEGNO</v>
      </c>
      <c r="AR33" s="4">
        <f t="shared" si="31"/>
        <v>15.184072527418291</v>
      </c>
      <c r="AS33" t="str">
        <f t="shared" si="32"/>
        <v>LEGNO</v>
      </c>
      <c r="AT33" s="4">
        <f t="shared" si="33"/>
        <v>19.671303204871791</v>
      </c>
      <c r="AU33" t="str">
        <f t="shared" si="34"/>
        <v>LEGNO</v>
      </c>
      <c r="AX33" s="4">
        <f t="shared" si="35"/>
        <v>22.776108791127434</v>
      </c>
      <c r="AY33" t="str">
        <f t="shared" si="36"/>
        <v>LEGNO</v>
      </c>
      <c r="AZ33" s="4">
        <f t="shared" si="37"/>
        <v>25.4</v>
      </c>
      <c r="BA33" t="str">
        <f t="shared" si="38"/>
        <v>ACCIAIO</v>
      </c>
    </row>
    <row r="34" spans="2:53" ht="15" customHeight="1">
      <c r="B34" s="120"/>
      <c r="C34" s="68" t="s">
        <v>652</v>
      </c>
      <c r="D34" s="184">
        <v>1</v>
      </c>
      <c r="E34" s="154" t="s">
        <v>102</v>
      </c>
      <c r="F34" s="192" t="s">
        <v>667</v>
      </c>
      <c r="G34" s="120"/>
      <c r="H34" s="68" t="s">
        <v>95</v>
      </c>
      <c r="I34" s="4">
        <f>MIN(I32,I31,D32)</f>
        <v>15.619848046965735</v>
      </c>
      <c r="J34" t="s">
        <v>55</v>
      </c>
      <c r="K34" s="121"/>
      <c r="W34" t="str">
        <f t="shared" si="0"/>
        <v>VGS_9</v>
      </c>
      <c r="X34" t="str">
        <f t="shared" si="16"/>
        <v>VGS_9_440</v>
      </c>
      <c r="Y34" t="str">
        <f t="shared" si="1"/>
        <v>9</v>
      </c>
      <c r="Z34">
        <f>Z33+40</f>
        <v>440</v>
      </c>
      <c r="AA34">
        <f t="shared" si="2"/>
        <v>20.32</v>
      </c>
      <c r="AB34" s="22">
        <f t="shared" si="18"/>
        <v>265</v>
      </c>
      <c r="AC34" s="4">
        <f t="shared" si="19"/>
        <v>340</v>
      </c>
      <c r="AD34" s="4">
        <f t="shared" si="20"/>
        <v>13.032013502180016</v>
      </c>
      <c r="AE34" s="25">
        <f t="shared" si="21"/>
        <v>16.308771955536677</v>
      </c>
      <c r="AF34" s="39">
        <f t="shared" si="22"/>
        <v>150</v>
      </c>
      <c r="AG34" s="15">
        <f t="shared" si="23"/>
        <v>100</v>
      </c>
      <c r="AH34" s="42">
        <f t="shared" si="24"/>
        <v>12.5</v>
      </c>
      <c r="AI34" s="4">
        <f t="shared" si="25"/>
        <v>30.041479749952398</v>
      </c>
      <c r="AJ34" s="25">
        <f t="shared" si="26"/>
        <v>20.027653166634931</v>
      </c>
      <c r="AK34" s="4"/>
      <c r="AL34" s="4">
        <f t="shared" si="27"/>
        <v>13.032013502180016</v>
      </c>
      <c r="AM34" t="str">
        <f t="shared" si="28"/>
        <v>LEGNO</v>
      </c>
      <c r="AN34" s="4">
        <f t="shared" si="29"/>
        <v>16.308771955536677</v>
      </c>
      <c r="AO34" t="str">
        <f t="shared" si="30"/>
        <v>LEGNO</v>
      </c>
      <c r="AR34" s="4">
        <f t="shared" si="31"/>
        <v>17.593218227943023</v>
      </c>
      <c r="AS34" t="str">
        <f t="shared" si="32"/>
        <v>LEGNO</v>
      </c>
      <c r="AT34" s="4">
        <f t="shared" si="33"/>
        <v>22.016842139974518</v>
      </c>
      <c r="AU34" t="str">
        <f t="shared" si="34"/>
        <v>LEGNO</v>
      </c>
      <c r="AX34" s="4">
        <f t="shared" si="35"/>
        <v>25.4</v>
      </c>
      <c r="AY34" t="str">
        <f t="shared" si="36"/>
        <v>ACCIAIO</v>
      </c>
      <c r="AZ34" s="4">
        <f t="shared" si="37"/>
        <v>25.4</v>
      </c>
      <c r="BA34" t="str">
        <f t="shared" si="38"/>
        <v>ACCIAIO</v>
      </c>
    </row>
    <row r="35" spans="2:53" ht="15" customHeight="1">
      <c r="B35" s="122"/>
      <c r="C35" s="115"/>
      <c r="D35" s="115"/>
      <c r="E35" s="115"/>
      <c r="F35" s="123"/>
      <c r="G35" s="122"/>
      <c r="H35" s="115"/>
      <c r="I35" s="115"/>
      <c r="J35" s="115"/>
      <c r="K35" s="123"/>
      <c r="W35" t="str">
        <f t="shared" si="0"/>
        <v>VGS_9</v>
      </c>
      <c r="X35" t="str">
        <f t="shared" si="16"/>
        <v>VGS_9_480</v>
      </c>
      <c r="Y35" t="str">
        <f t="shared" si="1"/>
        <v>9</v>
      </c>
      <c r="Z35">
        <f t="shared" ref="Z35:Z38" si="39">Z34+40</f>
        <v>480</v>
      </c>
      <c r="AA35">
        <f t="shared" si="2"/>
        <v>20.32</v>
      </c>
      <c r="AB35" s="22">
        <f t="shared" si="18"/>
        <v>305</v>
      </c>
      <c r="AC35" s="4">
        <f t="shared" si="19"/>
        <v>380</v>
      </c>
      <c r="AD35" s="4">
        <f t="shared" si="20"/>
        <v>14.789724704673924</v>
      </c>
      <c r="AE35" s="25">
        <f t="shared" si="21"/>
        <v>18.025838331022811</v>
      </c>
      <c r="AF35" s="39">
        <f t="shared" si="22"/>
        <v>150</v>
      </c>
      <c r="AG35" s="15">
        <f t="shared" si="23"/>
        <v>100</v>
      </c>
      <c r="AH35" s="42">
        <f t="shared" si="24"/>
        <v>12.5</v>
      </c>
      <c r="AI35" s="4">
        <f t="shared" si="25"/>
        <v>30.041479749952398</v>
      </c>
      <c r="AJ35" s="25">
        <f t="shared" si="26"/>
        <v>20.027653166634931</v>
      </c>
      <c r="AK35" s="4"/>
      <c r="AL35" s="4">
        <f t="shared" si="27"/>
        <v>14.789724704673924</v>
      </c>
      <c r="AM35" t="str">
        <f t="shared" si="28"/>
        <v>LEGNO</v>
      </c>
      <c r="AN35" s="4">
        <f t="shared" si="29"/>
        <v>18.025838331022811</v>
      </c>
      <c r="AO35" t="str">
        <f t="shared" si="30"/>
        <v>LEGNO</v>
      </c>
      <c r="AR35" s="4">
        <f t="shared" si="31"/>
        <v>19.966128351309798</v>
      </c>
      <c r="AS35" t="str">
        <f t="shared" si="32"/>
        <v>LEGNO</v>
      </c>
      <c r="AT35" s="4">
        <f t="shared" si="33"/>
        <v>24.334881746880797</v>
      </c>
      <c r="AU35" t="str">
        <f t="shared" si="34"/>
        <v>LEGNO</v>
      </c>
      <c r="AX35" s="4">
        <f t="shared" si="35"/>
        <v>25.4</v>
      </c>
      <c r="AY35" t="str">
        <f t="shared" si="36"/>
        <v>ACCIAIO</v>
      </c>
      <c r="AZ35" s="4">
        <f t="shared" si="37"/>
        <v>25.4</v>
      </c>
      <c r="BA35" t="str">
        <f t="shared" si="38"/>
        <v>ACCIAIO</v>
      </c>
    </row>
    <row r="36" spans="2:53" ht="15" customHeight="1">
      <c r="W36" t="str">
        <f t="shared" si="0"/>
        <v>VGS_9</v>
      </c>
      <c r="X36" t="str">
        <f t="shared" si="16"/>
        <v>VGS_9_520</v>
      </c>
      <c r="Y36" t="str">
        <f t="shared" si="1"/>
        <v>9</v>
      </c>
      <c r="Z36">
        <f t="shared" si="39"/>
        <v>520</v>
      </c>
      <c r="AA36">
        <f t="shared" si="2"/>
        <v>20.32</v>
      </c>
      <c r="AB36" s="22">
        <f t="shared" ref="AB36:AB37" si="40">Z36-AF36-25</f>
        <v>345</v>
      </c>
      <c r="AC36" s="4">
        <f t="shared" ref="AC36:AC37" si="41">Z36-AG36</f>
        <v>420</v>
      </c>
      <c r="AD36" s="4">
        <f t="shared" ref="AD36:AD37" si="42">((20*(Y36^0.8)*AB36^0.9)/1000)*$AE$10/$AE$9</f>
        <v>16.524465484070348</v>
      </c>
      <c r="AE36" s="25">
        <f t="shared" ref="AE36:AE37" si="43">((20*(Y36^0.8)*AC36^0.9)/1000)*$AE$10/$AE$9</f>
        <v>19.724890278182432</v>
      </c>
      <c r="AF36" s="39">
        <f t="shared" ref="AF36:AF37" si="44">MAX(14*Y36,150)</f>
        <v>150</v>
      </c>
      <c r="AG36" s="15">
        <f t="shared" ref="AG36:AG37" si="45">MAX(9*Y36,100)</f>
        <v>100</v>
      </c>
      <c r="AH36" s="42">
        <f t="shared" ref="AH36:AH37" si="46">VLOOKUP(W36,$E$11:$I$14,4,FALSE)</f>
        <v>12.5</v>
      </c>
      <c r="AI36" s="4">
        <f t="shared" ref="AI36:AI37" si="47">((Y36*PI())*AF36)*(AH36*$AE$18/$AE$17)/1000</f>
        <v>30.041479749952398</v>
      </c>
      <c r="AJ36" s="25">
        <f t="shared" ref="AJ36:AJ37" si="48">((Y36*PI())*AG36)*(AH36*$AE$18/$AE$17)/1000</f>
        <v>20.027653166634931</v>
      </c>
      <c r="AK36" s="4"/>
      <c r="AL36" s="4">
        <f t="shared" ref="AL36:AL37" si="49">MIN(AA36,AD36,AI36)</f>
        <v>16.524465484070348</v>
      </c>
      <c r="AM36" t="str">
        <f t="shared" ref="AM36:AM37" si="50">IF(AL36=AA36,"ACCIAIO",IF(AL36=AD36,"LEGNO",IF(AL36=AI36," CALCESTRUZZO")))</f>
        <v>LEGNO</v>
      </c>
      <c r="AN36" s="4">
        <f t="shared" ref="AN36:AN37" si="51">MIN(AA36,AE36,AJ36)</f>
        <v>19.724890278182432</v>
      </c>
      <c r="AO36" t="str">
        <f t="shared" ref="AO36:AO37" si="52">IF(AN36=AA36,"ACCIAIO",IF(AN36=AE36,"LEGNO",IF(AN36=AJ36,"CALCESTRUZZO")))</f>
        <v>LEGNO</v>
      </c>
      <c r="AR36" s="4">
        <f t="shared" ref="AR36:AR37" si="53">MIN(AA36*$AE$14,AD36*$AE$9/$AE$10,AI36*$AE$17/$AE$18)</f>
        <v>22.308028403494969</v>
      </c>
      <c r="AS36" t="str">
        <f t="shared" ref="AS36:AS37" si="54">IF(AR36=AA36*$AE$14,"ACCIAIO",IF(AR36=AD36*$AE$9/$AE$10,"LEGNO",IF(AR36=AI36*$AE$17/$AE$18," CALCESTRUZZO")))</f>
        <v>LEGNO</v>
      </c>
      <c r="AT36" s="4">
        <f t="shared" ref="AT36:AT37" si="55">MIN(AA36*$AE$14,AE36*$AE$9/$AE$10,AJ36*$AE$17/$AE$18)</f>
        <v>25.4</v>
      </c>
      <c r="AU36" t="str">
        <f t="shared" ref="AU36:AU37" si="56">IF(AT36=AA36*$AE$14,"ACCIAIO",IF(AT36=AE36*$AE$9/$AE$10,"LEGNO",IF(AT36=AJ36*$AE$17/$AE$18," CALCESTRUZZO")))</f>
        <v>ACCIAIO</v>
      </c>
      <c r="AX36" s="4">
        <f t="shared" ref="AX36:AX37" si="57">MIN(AA36*$AE$14,$AZ$18*AD36*$AE$9/$AE$10,AI36*$AE$17/$AE$18)</f>
        <v>25.4</v>
      </c>
      <c r="AY36" t="str">
        <f t="shared" ref="AY36:AY37" si="58">IF(AX36=AA36*$AE$14,"ACCIAIO",IF(AX36=$AZ$18*AD36*$AE$9/$AE$10,"LEGNO",IF(AX36=AI36*$AE$17/$AE$18," CALCESTRUZZO")))</f>
        <v>ACCIAIO</v>
      </c>
      <c r="AZ36" s="4">
        <f t="shared" ref="AZ36:AZ37" si="59">MIN(AA36*$AE$14,$AZ$18*AE36*$AE$9/$AE$10,AJ36*$AE$17/$AE$18)</f>
        <v>25.4</v>
      </c>
      <c r="BA36" t="str">
        <f t="shared" ref="BA36:BA37" si="60">IF(AZ36=AA36*$AE$14,"ACCIAIO",IF(AZ36=$AZ$18*AE36*$AE$9/$AE$10,"LEGNO",IF(AZ36=AJ36*$AE$17/$AE$18," CALCESTRUZZO")))</f>
        <v>ACCIAIO</v>
      </c>
    </row>
    <row r="37" spans="2:53" ht="15" customHeight="1">
      <c r="B37" s="267" t="str">
        <f>traduzioni!A177</f>
        <v>SHEAR CAPACITY - TIMBER</v>
      </c>
      <c r="C37" s="268"/>
      <c r="D37" s="268"/>
      <c r="E37" s="268"/>
      <c r="F37" s="269"/>
      <c r="G37" s="261" t="str">
        <f>traduzioni!A178</f>
        <v>SHEAR CAPACITY - STEEL</v>
      </c>
      <c r="H37" s="262"/>
      <c r="I37" s="262"/>
      <c r="J37" s="262"/>
      <c r="K37" s="263"/>
      <c r="W37" t="str">
        <f t="shared" si="0"/>
        <v>VGS_9</v>
      </c>
      <c r="X37" t="str">
        <f t="shared" si="16"/>
        <v>VGS_9_560</v>
      </c>
      <c r="Y37" t="str">
        <f t="shared" si="1"/>
        <v>9</v>
      </c>
      <c r="Z37">
        <f>Z36+40</f>
        <v>560</v>
      </c>
      <c r="AA37">
        <f t="shared" si="2"/>
        <v>20.32</v>
      </c>
      <c r="AB37" s="22">
        <f t="shared" si="40"/>
        <v>385</v>
      </c>
      <c r="AC37" s="4">
        <f t="shared" si="41"/>
        <v>460</v>
      </c>
      <c r="AD37" s="4">
        <f t="shared" si="42"/>
        <v>18.239162442138806</v>
      </c>
      <c r="AE37" s="25">
        <f t="shared" si="43"/>
        <v>21.407812050990984</v>
      </c>
      <c r="AF37" s="39">
        <f t="shared" si="44"/>
        <v>150</v>
      </c>
      <c r="AG37" s="15">
        <f t="shared" si="45"/>
        <v>100</v>
      </c>
      <c r="AH37" s="42">
        <f t="shared" si="46"/>
        <v>12.5</v>
      </c>
      <c r="AI37" s="4">
        <f t="shared" si="47"/>
        <v>30.041479749952398</v>
      </c>
      <c r="AJ37" s="25">
        <f t="shared" si="48"/>
        <v>20.027653166634931</v>
      </c>
      <c r="AK37" s="4"/>
      <c r="AL37" s="4">
        <f t="shared" si="49"/>
        <v>18.239162442138806</v>
      </c>
      <c r="AM37" t="str">
        <f t="shared" si="50"/>
        <v>LEGNO</v>
      </c>
      <c r="AN37" s="4">
        <f t="shared" si="51"/>
        <v>20.027653166634931</v>
      </c>
      <c r="AO37" t="str">
        <f t="shared" si="52"/>
        <v>CALCESTRUZZO</v>
      </c>
      <c r="AR37" s="4">
        <f t="shared" si="53"/>
        <v>24.622869296887391</v>
      </c>
      <c r="AS37" t="str">
        <f t="shared" si="54"/>
        <v>LEGNO</v>
      </c>
      <c r="AT37" s="4">
        <f t="shared" si="55"/>
        <v>25.4</v>
      </c>
      <c r="AU37" t="str">
        <f t="shared" si="56"/>
        <v>ACCIAIO</v>
      </c>
      <c r="AX37" s="4">
        <f t="shared" si="57"/>
        <v>25.4</v>
      </c>
      <c r="AY37" t="str">
        <f t="shared" si="58"/>
        <v>ACCIAIO</v>
      </c>
      <c r="AZ37" s="4">
        <f t="shared" si="59"/>
        <v>25.4</v>
      </c>
      <c r="BA37" t="str">
        <f t="shared" si="60"/>
        <v>ACCIAIO</v>
      </c>
    </row>
    <row r="38" spans="2:53" ht="15" customHeight="1">
      <c r="B38" s="270"/>
      <c r="C38" s="271"/>
      <c r="D38" s="271"/>
      <c r="E38" s="271"/>
      <c r="F38" s="272"/>
      <c r="G38" s="264"/>
      <c r="H38" s="265"/>
      <c r="I38" s="265"/>
      <c r="J38" s="265"/>
      <c r="K38" s="266"/>
      <c r="W38" t="str">
        <f t="shared" si="0"/>
        <v>VGS_9</v>
      </c>
      <c r="X38" t="str">
        <f t="shared" si="16"/>
        <v>VGS_9_600</v>
      </c>
      <c r="Y38" t="str">
        <f t="shared" si="1"/>
        <v>9</v>
      </c>
      <c r="Z38">
        <f t="shared" si="39"/>
        <v>600</v>
      </c>
      <c r="AA38">
        <f t="shared" si="2"/>
        <v>20.32</v>
      </c>
      <c r="AB38" s="22">
        <f>Z38-AF38-25</f>
        <v>425</v>
      </c>
      <c r="AC38" s="4">
        <f>Z38-AG38</f>
        <v>500</v>
      </c>
      <c r="AD38" s="4">
        <f t="shared" si="20"/>
        <v>19.936103137516568</v>
      </c>
      <c r="AE38" s="25">
        <f t="shared" si="21"/>
        <v>23.07614390644196</v>
      </c>
      <c r="AF38" s="39">
        <f t="shared" si="22"/>
        <v>150</v>
      </c>
      <c r="AG38" s="15">
        <f t="shared" si="23"/>
        <v>100</v>
      </c>
      <c r="AH38" s="42">
        <f t="shared" si="24"/>
        <v>12.5</v>
      </c>
      <c r="AI38" s="4">
        <f t="shared" si="25"/>
        <v>30.041479749952398</v>
      </c>
      <c r="AJ38" s="25">
        <f t="shared" si="26"/>
        <v>20.027653166634931</v>
      </c>
      <c r="AK38" s="4"/>
      <c r="AL38" s="4">
        <f t="shared" si="27"/>
        <v>19.936103137516568</v>
      </c>
      <c r="AM38" t="str">
        <f t="shared" si="28"/>
        <v>LEGNO</v>
      </c>
      <c r="AN38" s="4">
        <f t="shared" si="29"/>
        <v>20.027653166634931</v>
      </c>
      <c r="AO38" t="str">
        <f>IF(AN38=AA38,"ACCIAIO",IF(AN38=AE38,"LEGNO",IF(AN38=AJ38,"CALCESTRUZZO")))</f>
        <v>CALCESTRUZZO</v>
      </c>
      <c r="AR38" s="4">
        <f t="shared" si="31"/>
        <v>25.4</v>
      </c>
      <c r="AS38" t="str">
        <f t="shared" si="32"/>
        <v>ACCIAIO</v>
      </c>
      <c r="AT38" s="4">
        <f t="shared" si="33"/>
        <v>25.4</v>
      </c>
      <c r="AU38" t="str">
        <f t="shared" si="34"/>
        <v>ACCIAIO</v>
      </c>
      <c r="AX38" s="4">
        <f t="shared" si="35"/>
        <v>25.4</v>
      </c>
      <c r="AY38" t="str">
        <f t="shared" si="36"/>
        <v>ACCIAIO</v>
      </c>
      <c r="AZ38" s="4">
        <f t="shared" si="37"/>
        <v>25.4</v>
      </c>
      <c r="BA38" t="str">
        <f t="shared" si="38"/>
        <v>ACCIAIO</v>
      </c>
    </row>
    <row r="39" spans="2:53" ht="15" customHeight="1">
      <c r="B39" s="120"/>
      <c r="F39" s="121"/>
      <c r="G39" s="120"/>
      <c r="K39" s="121"/>
      <c r="AB39" s="22"/>
      <c r="AC39" s="4"/>
      <c r="AD39" s="4"/>
      <c r="AE39" s="25"/>
      <c r="AF39" s="39"/>
      <c r="AG39" s="15"/>
      <c r="AH39" s="42"/>
      <c r="AI39" s="4"/>
      <c r="AJ39" s="25"/>
      <c r="AK39" s="4"/>
      <c r="AL39" s="4"/>
      <c r="AN39" s="4"/>
      <c r="AR39" s="4"/>
      <c r="AT39" s="4"/>
      <c r="AX39" s="4"/>
      <c r="AZ39" s="4"/>
    </row>
    <row r="40" spans="2:53" ht="15" customHeight="1">
      <c r="B40" s="120"/>
      <c r="C40" s="68" t="s">
        <v>133</v>
      </c>
      <c r="D40">
        <f>VLOOKUP(D23,E11:J14,5,FALSE)</f>
        <v>45.9</v>
      </c>
      <c r="E40" t="s">
        <v>132</v>
      </c>
      <c r="F40" s="121"/>
      <c r="G40" s="120"/>
      <c r="H40" s="68" t="s">
        <v>212</v>
      </c>
      <c r="I40">
        <f>VLOOKUP(D23,E11:J14,6,FALSE)</f>
        <v>1000</v>
      </c>
      <c r="J40" t="s">
        <v>100</v>
      </c>
      <c r="K40" s="121"/>
      <c r="W40" t="str">
        <f t="shared" ref="W40:W60" si="61">$E$12</f>
        <v>VGS_11</v>
      </c>
      <c r="X40" t="str">
        <f t="shared" si="16"/>
        <v>VGS_11_300</v>
      </c>
      <c r="Y40" t="str">
        <f t="shared" ref="Y40:Y91" si="62">IF(MID(W40,5,1)&lt;=9,MID(W40,5,1),MID(W40,5,2))</f>
        <v>11</v>
      </c>
      <c r="Z40">
        <v>300</v>
      </c>
      <c r="AA40">
        <f t="shared" ref="AA40:AA60" si="63">$G$12/$AE$14</f>
        <v>30.4</v>
      </c>
      <c r="AB40" s="22">
        <f t="shared" ref="AB40:AB45" si="64">Z40-AF40-25</f>
        <v>121</v>
      </c>
      <c r="AC40" s="4">
        <f t="shared" ref="AC40:AC45" si="65">Z40-AG40</f>
        <v>200</v>
      </c>
      <c r="AD40" s="4">
        <f t="shared" ref="AD40:AD45" si="66">((20*(Y40^0.8)*AB40^0.9)/1000)*$AE$10/$AE$9</f>
        <v>7.5564394830239978</v>
      </c>
      <c r="AE40" s="25">
        <f t="shared" ref="AE40:AE45" si="67">((20*(Y40^0.8)*AC40^0.9)/1000)*$AE$10/$AE$9</f>
        <v>11.877837280351404</v>
      </c>
      <c r="AF40" s="39">
        <f t="shared" ref="AF40:AF45" si="68">MAX(14*Y40,150)</f>
        <v>154</v>
      </c>
      <c r="AG40" s="15">
        <f t="shared" ref="AG40:AG45" si="69">MAX(9*Y40,100)</f>
        <v>100</v>
      </c>
      <c r="AH40" s="42">
        <f t="shared" ref="AH40:AH45" si="70">VLOOKUP(W40,$E$11:$I$14,4,FALSE)</f>
        <v>12.5</v>
      </c>
      <c r="AI40" s="4">
        <f t="shared" ref="AI40:AI45" si="71">((Y40*PI())*AF40)*(AH40*$AE$18/$AE$17)/1000</f>
        <v>37.69649384919952</v>
      </c>
      <c r="AJ40" s="25">
        <f t="shared" ref="AJ40:AJ45" si="72">((Y40*PI())*AG40)*(AH40*$AE$18/$AE$17)/1000</f>
        <v>24.478242759220471</v>
      </c>
      <c r="AK40" s="4"/>
      <c r="AL40" s="4">
        <f t="shared" ref="AL40:AL45" si="73">MIN(AA40,AD40,AI40)</f>
        <v>7.5564394830239978</v>
      </c>
      <c r="AM40" t="str">
        <f t="shared" ref="AM40:AM45" si="74">IF(AL40=AA40,"ACCIAIO",IF(AL40=AD40,"LEGNO",IF(AL40=AI40," CALCESTRUZZO")))</f>
        <v>LEGNO</v>
      </c>
      <c r="AN40" s="4">
        <f t="shared" ref="AN40:AN45" si="75">MIN(AA40,AE40,AJ40)</f>
        <v>11.877837280351404</v>
      </c>
      <c r="AO40" t="str">
        <f t="shared" ref="AO40:AO45" si="76">IF(AN40=AA40,"ACCIAIO",IF(AN40=AE40,"LEGNO",IF(AN40=AJ40,"CALCESTRUZZO")))</f>
        <v>LEGNO</v>
      </c>
      <c r="AR40" s="4">
        <f t="shared" ref="AR40:AR45" si="77">MIN(AA40*$AE$14,AD40*$AE$9/$AE$10,AI40*$AE$17/$AE$18)</f>
        <v>10.201193302082398</v>
      </c>
      <c r="AS40" t="str">
        <f t="shared" ref="AS40:AS45" si="78">IF(AR40=AA40*$AE$14,"ACCIAIO",IF(AR40=AD40*$AE$9/$AE$10,"LEGNO",IF(AR40=AI40*$AE$17/$AE$18," CALCESTRUZZO")))</f>
        <v>LEGNO</v>
      </c>
      <c r="AT40" s="4">
        <f t="shared" ref="AT40:AT45" si="79">MIN(AA40*$AE$14,AE40*$AE$9/$AE$10,AJ40*$AE$17/$AE$18)</f>
        <v>16.035080328474397</v>
      </c>
      <c r="AU40" t="str">
        <f t="shared" ref="AU40:AU45" si="80">IF(AT40=AA40*$AE$14,"ACCIAIO",IF(AT40=AE40*$AE$9/$AE$10,"LEGNO",IF(AT40=AJ40*$AE$17/$AE$18," CALCESTRUZZO")))</f>
        <v>LEGNO</v>
      </c>
      <c r="AX40" s="4">
        <f t="shared" ref="AX40:AX45" si="81">MIN(AA40*$AE$14,$AZ$18*AD40*$AE$9/$AE$10,AI40*$AE$17/$AE$18)</f>
        <v>15.301789953123597</v>
      </c>
      <c r="AY40" t="str">
        <f t="shared" ref="AY40:AY45" si="82">IF(AX40=AA40*$AE$14,"ACCIAIO",IF(AX40=$AZ$18*AD40*$AE$9/$AE$10,"LEGNO",IF(AX40=AI40*$AE$17/$AE$18," CALCESTRUZZO")))</f>
        <v>LEGNO</v>
      </c>
      <c r="AZ40" s="4">
        <f t="shared" ref="AZ40:AZ45" si="83">MIN(AA40*$AE$14,$AZ$18*AE40*$AE$9/$AE$10,AJ40*$AE$17/$AE$18)</f>
        <v>24.052620492711597</v>
      </c>
      <c r="BA40" t="str">
        <f t="shared" ref="BA40:BA45" si="84">IF(AZ40=AA40*$AE$14,"ACCIAIO",IF(AZ40=$AZ$18*AE40*$AE$9/$AE$10,"LEGNO",IF(AZ40=AJ40*$AE$17/$AE$18," CALCESTRUZZO")))</f>
        <v>LEGNO</v>
      </c>
    </row>
    <row r="41" spans="2:53" ht="15" customHeight="1">
      <c r="B41" s="120"/>
      <c r="C41" s="68" t="s">
        <v>131</v>
      </c>
      <c r="D41" s="4">
        <f>20*E23^-0.5</f>
        <v>6.030226891555273</v>
      </c>
      <c r="E41" t="s">
        <v>100</v>
      </c>
      <c r="F41" s="192" t="s">
        <v>668</v>
      </c>
      <c r="G41" s="120"/>
      <c r="H41" s="68" t="s">
        <v>214</v>
      </c>
      <c r="I41" s="4">
        <f>PI()*VLOOKUP(D23,E11:K14,7,FALSE)^2/4</f>
        <v>34.21194399759284</v>
      </c>
      <c r="J41" t="s">
        <v>217</v>
      </c>
      <c r="K41" s="121"/>
      <c r="W41" t="str">
        <f t="shared" si="61"/>
        <v>VGS_11</v>
      </c>
      <c r="X41" t="str">
        <f t="shared" si="16"/>
        <v>VGS_11_325</v>
      </c>
      <c r="Y41" t="str">
        <f t="shared" si="62"/>
        <v>11</v>
      </c>
      <c r="Z41">
        <f t="shared" ref="Z41:Z46" si="85">Z40+25</f>
        <v>325</v>
      </c>
      <c r="AA41">
        <f t="shared" si="63"/>
        <v>30.4</v>
      </c>
      <c r="AB41" s="22">
        <f t="shared" si="64"/>
        <v>146</v>
      </c>
      <c r="AC41" s="4">
        <f t="shared" si="65"/>
        <v>225</v>
      </c>
      <c r="AD41" s="4">
        <f t="shared" si="66"/>
        <v>8.9480405906345197</v>
      </c>
      <c r="AE41" s="25">
        <f t="shared" si="67"/>
        <v>13.206101826203909</v>
      </c>
      <c r="AF41" s="39">
        <f t="shared" si="68"/>
        <v>154</v>
      </c>
      <c r="AG41" s="15">
        <f t="shared" si="69"/>
        <v>100</v>
      </c>
      <c r="AH41" s="42">
        <f t="shared" si="70"/>
        <v>12.5</v>
      </c>
      <c r="AI41" s="4">
        <f t="shared" si="71"/>
        <v>37.69649384919952</v>
      </c>
      <c r="AJ41" s="25">
        <f t="shared" si="72"/>
        <v>24.478242759220471</v>
      </c>
      <c r="AK41" s="4"/>
      <c r="AL41" s="4">
        <f t="shared" si="73"/>
        <v>8.9480405906345197</v>
      </c>
      <c r="AM41" t="str">
        <f t="shared" si="74"/>
        <v>LEGNO</v>
      </c>
      <c r="AN41" s="4">
        <f t="shared" si="75"/>
        <v>13.206101826203909</v>
      </c>
      <c r="AO41" t="str">
        <f t="shared" si="76"/>
        <v>LEGNO</v>
      </c>
      <c r="AR41" s="4">
        <f t="shared" si="77"/>
        <v>12.079854797356603</v>
      </c>
      <c r="AS41" t="str">
        <f t="shared" si="78"/>
        <v>LEGNO</v>
      </c>
      <c r="AT41" s="4">
        <f t="shared" si="79"/>
        <v>17.828237465375278</v>
      </c>
      <c r="AU41" t="str">
        <f t="shared" si="80"/>
        <v>LEGNO</v>
      </c>
      <c r="AX41" s="4">
        <f t="shared" si="81"/>
        <v>18.119782196034905</v>
      </c>
      <c r="AY41" t="str">
        <f t="shared" si="82"/>
        <v>LEGNO</v>
      </c>
      <c r="AZ41" s="4">
        <f t="shared" si="83"/>
        <v>26.742356198062922</v>
      </c>
      <c r="BA41" t="str">
        <f t="shared" si="84"/>
        <v>LEGNO</v>
      </c>
    </row>
    <row r="42" spans="2:53" ht="15" customHeight="1">
      <c r="B42" s="120"/>
      <c r="C42" s="68"/>
      <c r="D42" s="4"/>
      <c r="F42" s="121"/>
      <c r="G42" s="120"/>
      <c r="H42" s="68" t="s">
        <v>211</v>
      </c>
      <c r="I42" s="4">
        <f>0.5*I40*I41/1000</f>
        <v>17.10597199879642</v>
      </c>
      <c r="J42" t="s">
        <v>55</v>
      </c>
      <c r="K42" s="192" t="s">
        <v>430</v>
      </c>
      <c r="W42" t="str">
        <f t="shared" si="61"/>
        <v>VGS_11</v>
      </c>
      <c r="X42" t="str">
        <f t="shared" si="16"/>
        <v>VGS_11_350</v>
      </c>
      <c r="Y42" t="str">
        <f t="shared" si="62"/>
        <v>11</v>
      </c>
      <c r="Z42">
        <f t="shared" si="85"/>
        <v>350</v>
      </c>
      <c r="AA42">
        <f t="shared" si="63"/>
        <v>30.4</v>
      </c>
      <c r="AB42" s="22">
        <f t="shared" si="64"/>
        <v>171</v>
      </c>
      <c r="AC42" s="4">
        <f t="shared" si="65"/>
        <v>250</v>
      </c>
      <c r="AD42" s="4">
        <f t="shared" si="66"/>
        <v>10.315894088167918</v>
      </c>
      <c r="AE42" s="25">
        <f t="shared" si="67"/>
        <v>14.519657869845574</v>
      </c>
      <c r="AF42" s="39">
        <f t="shared" si="68"/>
        <v>154</v>
      </c>
      <c r="AG42" s="15">
        <f t="shared" si="69"/>
        <v>100</v>
      </c>
      <c r="AH42" s="42">
        <f t="shared" si="70"/>
        <v>12.5</v>
      </c>
      <c r="AI42" s="4">
        <f t="shared" si="71"/>
        <v>37.69649384919952</v>
      </c>
      <c r="AJ42" s="25">
        <f t="shared" si="72"/>
        <v>24.478242759220471</v>
      </c>
      <c r="AK42" s="4"/>
      <c r="AL42" s="4">
        <f t="shared" si="73"/>
        <v>10.315894088167918</v>
      </c>
      <c r="AM42" t="str">
        <f t="shared" si="74"/>
        <v>LEGNO</v>
      </c>
      <c r="AN42" s="4">
        <f t="shared" si="75"/>
        <v>14.519657869845574</v>
      </c>
      <c r="AO42" t="str">
        <f t="shared" si="76"/>
        <v>LEGNO</v>
      </c>
      <c r="AR42" s="4">
        <f t="shared" si="77"/>
        <v>13.926457019026689</v>
      </c>
      <c r="AS42" t="str">
        <f t="shared" si="78"/>
        <v>LEGNO</v>
      </c>
      <c r="AT42" s="4">
        <f t="shared" si="79"/>
        <v>19.601538124291526</v>
      </c>
      <c r="AU42" t="str">
        <f t="shared" si="80"/>
        <v>LEGNO</v>
      </c>
      <c r="AX42" s="4">
        <f t="shared" si="81"/>
        <v>20.889685528540035</v>
      </c>
      <c r="AY42" t="str">
        <f t="shared" si="82"/>
        <v>LEGNO</v>
      </c>
      <c r="AZ42" s="4">
        <f t="shared" si="83"/>
        <v>29.402307186437287</v>
      </c>
      <c r="BA42" t="str">
        <f t="shared" si="84"/>
        <v>LEGNO</v>
      </c>
    </row>
    <row r="43" spans="2:53" ht="15" customHeight="1">
      <c r="B43" s="120"/>
      <c r="C43" s="68"/>
      <c r="D43" s="131"/>
      <c r="F43" s="121"/>
      <c r="G43" s="120"/>
      <c r="H43" s="68" t="s">
        <v>218</v>
      </c>
      <c r="I43" s="4">
        <f>I42/AE14</f>
        <v>13.684777599037137</v>
      </c>
      <c r="J43" t="s">
        <v>55</v>
      </c>
      <c r="K43" s="121"/>
      <c r="W43" t="str">
        <f t="shared" si="61"/>
        <v>VGS_11</v>
      </c>
      <c r="X43" t="str">
        <f t="shared" si="16"/>
        <v>VGS_11_375</v>
      </c>
      <c r="Y43" t="str">
        <f t="shared" si="62"/>
        <v>11</v>
      </c>
      <c r="Z43">
        <f t="shared" si="85"/>
        <v>375</v>
      </c>
      <c r="AA43">
        <f t="shared" si="63"/>
        <v>30.4</v>
      </c>
      <c r="AB43" s="22">
        <f t="shared" si="64"/>
        <v>196</v>
      </c>
      <c r="AC43" s="4">
        <f t="shared" si="65"/>
        <v>275</v>
      </c>
      <c r="AD43" s="4">
        <f t="shared" si="66"/>
        <v>11.663820823689857</v>
      </c>
      <c r="AE43" s="25">
        <f t="shared" si="67"/>
        <v>15.820120958926619</v>
      </c>
      <c r="AF43" s="39">
        <f t="shared" si="68"/>
        <v>154</v>
      </c>
      <c r="AG43" s="15">
        <f t="shared" si="69"/>
        <v>100</v>
      </c>
      <c r="AH43" s="42">
        <f t="shared" si="70"/>
        <v>12.5</v>
      </c>
      <c r="AI43" s="4">
        <f t="shared" si="71"/>
        <v>37.69649384919952</v>
      </c>
      <c r="AJ43" s="25">
        <f t="shared" si="72"/>
        <v>24.478242759220471</v>
      </c>
      <c r="AK43" s="4"/>
      <c r="AL43" s="4">
        <f t="shared" si="73"/>
        <v>11.663820823689857</v>
      </c>
      <c r="AM43" t="str">
        <f t="shared" si="74"/>
        <v>LEGNO</v>
      </c>
      <c r="AN43" s="4">
        <f t="shared" si="75"/>
        <v>15.820120958926619</v>
      </c>
      <c r="AO43" t="str">
        <f t="shared" si="76"/>
        <v>LEGNO</v>
      </c>
      <c r="AR43" s="4">
        <f t="shared" si="77"/>
        <v>15.746158111981307</v>
      </c>
      <c r="AS43" t="str">
        <f t="shared" si="78"/>
        <v>LEGNO</v>
      </c>
      <c r="AT43" s="4">
        <f t="shared" si="79"/>
        <v>21.357163294550936</v>
      </c>
      <c r="AU43" t="str">
        <f t="shared" si="80"/>
        <v>LEGNO</v>
      </c>
      <c r="AX43" s="4">
        <f t="shared" si="81"/>
        <v>23.61923716797196</v>
      </c>
      <c r="AY43" t="str">
        <f t="shared" si="82"/>
        <v>LEGNO</v>
      </c>
      <c r="AZ43" s="4">
        <f t="shared" si="83"/>
        <v>32.035744941826401</v>
      </c>
      <c r="BA43" t="str">
        <f t="shared" si="84"/>
        <v>LEGNO</v>
      </c>
    </row>
    <row r="44" spans="2:53" ht="15" customHeight="1">
      <c r="B44" s="120"/>
      <c r="C44" s="68" t="s">
        <v>215</v>
      </c>
      <c r="D44" s="4">
        <f>(D41*I30*E23)/1000</f>
        <v>17.24644890984808</v>
      </c>
      <c r="F44" s="121" t="s">
        <v>128</v>
      </c>
      <c r="G44" s="122"/>
      <c r="H44" s="115"/>
      <c r="I44" s="115"/>
      <c r="J44" s="115"/>
      <c r="K44" s="123"/>
      <c r="W44" t="str">
        <f t="shared" si="61"/>
        <v>VGS_11</v>
      </c>
      <c r="X44" t="str">
        <f t="shared" si="16"/>
        <v>VGS_11_400</v>
      </c>
      <c r="Y44" t="str">
        <f t="shared" si="62"/>
        <v>11</v>
      </c>
      <c r="Z44">
        <f t="shared" si="85"/>
        <v>400</v>
      </c>
      <c r="AA44">
        <f t="shared" si="63"/>
        <v>30.4</v>
      </c>
      <c r="AB44" s="22">
        <f t="shared" si="64"/>
        <v>221</v>
      </c>
      <c r="AC44" s="4">
        <f t="shared" si="65"/>
        <v>300</v>
      </c>
      <c r="AD44" s="4">
        <f t="shared" si="66"/>
        <v>12.9946151410065</v>
      </c>
      <c r="AE44" s="25">
        <f t="shared" si="67"/>
        <v>17.108798229761756</v>
      </c>
      <c r="AF44" s="39">
        <f t="shared" si="68"/>
        <v>154</v>
      </c>
      <c r="AG44" s="15">
        <f t="shared" si="69"/>
        <v>100</v>
      </c>
      <c r="AH44" s="42">
        <f t="shared" si="70"/>
        <v>12.5</v>
      </c>
      <c r="AI44" s="4">
        <f t="shared" si="71"/>
        <v>37.69649384919952</v>
      </c>
      <c r="AJ44" s="25">
        <f t="shared" si="72"/>
        <v>24.478242759220471</v>
      </c>
      <c r="AK44" s="4"/>
      <c r="AL44" s="4">
        <f t="shared" si="73"/>
        <v>12.9946151410065</v>
      </c>
      <c r="AM44" t="str">
        <f t="shared" si="74"/>
        <v>LEGNO</v>
      </c>
      <c r="AN44" s="4">
        <f t="shared" si="75"/>
        <v>17.108798229761756</v>
      </c>
      <c r="AO44" t="str">
        <f t="shared" si="76"/>
        <v>LEGNO</v>
      </c>
      <c r="AR44" s="4">
        <f t="shared" si="77"/>
        <v>17.542730440358778</v>
      </c>
      <c r="AS44" t="str">
        <f t="shared" si="78"/>
        <v>LEGNO</v>
      </c>
      <c r="AT44" s="4">
        <f t="shared" si="79"/>
        <v>23.096877610178371</v>
      </c>
      <c r="AU44" t="str">
        <f t="shared" si="80"/>
        <v>LEGNO</v>
      </c>
      <c r="AX44" s="4">
        <f t="shared" si="81"/>
        <v>26.314095660538165</v>
      </c>
      <c r="AY44" t="str">
        <f t="shared" si="82"/>
        <v>LEGNO</v>
      </c>
      <c r="AZ44" s="4">
        <f t="shared" si="83"/>
        <v>34.645316415267558</v>
      </c>
      <c r="BA44" t="str">
        <f t="shared" si="84"/>
        <v>LEGNO</v>
      </c>
    </row>
    <row r="45" spans="2:53" ht="15" customHeight="1">
      <c r="B45" s="120"/>
      <c r="C45" s="68" t="s">
        <v>430</v>
      </c>
      <c r="D45" s="4">
        <f>IF(T55&lt;(T53/100)*S55,(S55+T55),IF(T55&gt;(T53/100),(S55+U55)))</f>
        <v>12.220413318306418</v>
      </c>
      <c r="F45" s="121" t="s">
        <v>21</v>
      </c>
      <c r="W45" t="str">
        <f t="shared" si="61"/>
        <v>VGS_11</v>
      </c>
      <c r="X45" t="str">
        <f t="shared" si="16"/>
        <v>VGS_11_425</v>
      </c>
      <c r="Y45" t="str">
        <f t="shared" si="62"/>
        <v>11</v>
      </c>
      <c r="Z45">
        <f t="shared" si="85"/>
        <v>425</v>
      </c>
      <c r="AA45">
        <f t="shared" si="63"/>
        <v>30.4</v>
      </c>
      <c r="AB45" s="22">
        <f t="shared" si="64"/>
        <v>246</v>
      </c>
      <c r="AC45" s="4">
        <f t="shared" si="65"/>
        <v>325</v>
      </c>
      <c r="AD45" s="4">
        <f t="shared" si="66"/>
        <v>14.31040654043901</v>
      </c>
      <c r="AE45" s="25">
        <f t="shared" si="67"/>
        <v>18.386768165023867</v>
      </c>
      <c r="AF45" s="39">
        <f t="shared" si="68"/>
        <v>154</v>
      </c>
      <c r="AG45" s="15">
        <f t="shared" si="69"/>
        <v>100</v>
      </c>
      <c r="AH45" s="42">
        <f t="shared" si="70"/>
        <v>12.5</v>
      </c>
      <c r="AI45" s="4">
        <f t="shared" si="71"/>
        <v>37.69649384919952</v>
      </c>
      <c r="AJ45" s="25">
        <f t="shared" si="72"/>
        <v>24.478242759220471</v>
      </c>
      <c r="AK45" s="4"/>
      <c r="AL45" s="4">
        <f t="shared" si="73"/>
        <v>14.31040654043901</v>
      </c>
      <c r="AM45" t="str">
        <f t="shared" si="74"/>
        <v>LEGNO</v>
      </c>
      <c r="AN45" s="4">
        <f t="shared" si="75"/>
        <v>18.386768165023867</v>
      </c>
      <c r="AO45" t="str">
        <f t="shared" si="76"/>
        <v>LEGNO</v>
      </c>
      <c r="AR45" s="4">
        <f t="shared" si="77"/>
        <v>19.319048829592663</v>
      </c>
      <c r="AS45" t="str">
        <f t="shared" si="78"/>
        <v>LEGNO</v>
      </c>
      <c r="AT45" s="4">
        <f t="shared" si="79"/>
        <v>24.822137022782222</v>
      </c>
      <c r="AU45" t="str">
        <f t="shared" si="80"/>
        <v>LEGNO</v>
      </c>
      <c r="AX45" s="4">
        <f t="shared" si="81"/>
        <v>28.978573244388993</v>
      </c>
      <c r="AY45" t="str">
        <f t="shared" si="82"/>
        <v>LEGNO</v>
      </c>
      <c r="AZ45" s="4">
        <f t="shared" si="83"/>
        <v>37.233205534173329</v>
      </c>
      <c r="BA45" t="str">
        <f t="shared" si="84"/>
        <v>LEGNO</v>
      </c>
    </row>
    <row r="46" spans="2:53" ht="15" customHeight="1">
      <c r="B46" s="120"/>
      <c r="C46" s="68" t="s">
        <v>386</v>
      </c>
      <c r="D46" s="116">
        <f>IF(T56&lt;(T53/100)*S56,(S56+T56),IF(T56&gt;(T53/100),S56+U56))</f>
        <v>8.02652094980626</v>
      </c>
      <c r="F46" s="121" t="s">
        <v>129</v>
      </c>
      <c r="W46" t="str">
        <f t="shared" si="61"/>
        <v>VGS_11</v>
      </c>
      <c r="X46" t="str">
        <f t="shared" si="16"/>
        <v>VGS_11_450</v>
      </c>
      <c r="Y46" t="str">
        <f t="shared" si="62"/>
        <v>11</v>
      </c>
      <c r="Z46">
        <f t="shared" si="85"/>
        <v>450</v>
      </c>
      <c r="AA46">
        <f t="shared" si="63"/>
        <v>30.4</v>
      </c>
      <c r="AB46" s="22">
        <f t="shared" ref="AB46:AB58" si="86">Z46-AF46-25</f>
        <v>271</v>
      </c>
      <c r="AC46" s="4">
        <f t="shared" ref="AC46:AC95" si="87">Z46-AG46</f>
        <v>350</v>
      </c>
      <c r="AD46" s="4">
        <f t="shared" ref="AD46:AD60" si="88">((20*(Y46^0.8)*AB46^0.9)/1000)*$AE$10/$AE$9</f>
        <v>15.612869766148814</v>
      </c>
      <c r="AE46" s="25">
        <f t="shared" ref="AE46:AE60" si="89">((20*(Y46^0.8)*AC46^0.9)/1000)*$AE$10/$AE$9</f>
        <v>19.65493514885711</v>
      </c>
      <c r="AF46" s="39">
        <f t="shared" si="22"/>
        <v>154</v>
      </c>
      <c r="AG46" s="15">
        <f t="shared" ref="AG46:AG60" si="90">MAX(9*Y46,100)</f>
        <v>100</v>
      </c>
      <c r="AH46" s="42">
        <f t="shared" ref="AH46:AH60" si="91">VLOOKUP(W46,$E$11:$I$14,4,FALSE)</f>
        <v>12.5</v>
      </c>
      <c r="AI46" s="4">
        <f t="shared" ref="AI46:AI60" si="92">((Y46*PI())*AF46)*(AH46*$AE$18/$AE$17)/1000</f>
        <v>37.69649384919952</v>
      </c>
      <c r="AJ46" s="25">
        <f t="shared" ref="AJ46:AJ60" si="93">((Y46*PI())*AG46)*(AH46*$AE$18/$AE$17)/1000</f>
        <v>24.478242759220471</v>
      </c>
      <c r="AK46" s="4"/>
      <c r="AL46" s="4">
        <f t="shared" si="27"/>
        <v>15.612869766148814</v>
      </c>
      <c r="AM46" t="str">
        <f t="shared" si="28"/>
        <v>LEGNO</v>
      </c>
      <c r="AN46" s="4">
        <f t="shared" si="29"/>
        <v>19.65493514885711</v>
      </c>
      <c r="AO46" t="str">
        <f t="shared" si="30"/>
        <v>LEGNO</v>
      </c>
      <c r="AR46" s="4">
        <f t="shared" ref="AR46:AR60" si="94">MIN(AA46*$AE$14,AD46*$AE$9/$AE$10,AI46*$AE$17/$AE$18)</f>
        <v>21.077374184300901</v>
      </c>
      <c r="AS46" t="str">
        <f t="shared" ref="AS46:AS60" si="95">IF(AR46=AA46*$AE$14,"ACCIAIO",IF(AR46=AD46*$AE$9/$AE$10,"LEGNO",IF(AR46=AI46*$AE$17/$AE$18," CALCESTRUZZO")))</f>
        <v>LEGNO</v>
      </c>
      <c r="AT46" s="4">
        <f t="shared" ref="AT46:AT60" si="96">MIN(AA46*$AE$14,AE46*$AE$9/$AE$10,AJ46*$AE$17/$AE$18)</f>
        <v>26.534162450957101</v>
      </c>
      <c r="AU46" t="str">
        <f t="shared" ref="AU46:AU60" si="97">IF(AT46=AA46*$AE$14,"ACCIAIO",IF(AT46=AE46*$AE$9/$AE$10,"LEGNO",IF(AT46=AJ46*$AE$17/$AE$18," CALCESTRUZZO")))</f>
        <v>LEGNO</v>
      </c>
      <c r="AX46" s="4">
        <f t="shared" ref="AX46:AX60" si="98">MIN(AA46*$AE$14,$AZ$18*AD46*$AE$9/$AE$10,AI46*$AE$17/$AE$18)</f>
        <v>31.616061276451351</v>
      </c>
      <c r="AY46" t="str">
        <f t="shared" ref="AY46:AY60" si="99">IF(AX46=AA46*$AE$14,"ACCIAIO",IF(AX46=$AZ$18*AD46*$AE$9/$AE$10,"LEGNO",IF(AX46=AI46*$AE$17/$AE$18," CALCESTRUZZO")))</f>
        <v>LEGNO</v>
      </c>
      <c r="AZ46" s="4">
        <f t="shared" ref="AZ46:AZ60" si="100">MIN(AA46*$AE$14,$AZ$18*AE46*$AE$9/$AE$10,AJ46*$AE$17/$AE$18)</f>
        <v>38</v>
      </c>
      <c r="BA46" t="str">
        <f t="shared" ref="BA46:BA60" si="101">IF(AZ46=AA46*$AE$14,"ACCIAIO",IF(AZ46=$AZ$18*AE46*$AE$9/$AE$10,"LEGNO",IF(AZ46=AJ46*$AE$17/$AE$18," CALCESTRUZZO")))</f>
        <v>ACCIAIO</v>
      </c>
    </row>
    <row r="47" spans="2:53" ht="15" customHeight="1">
      <c r="B47" s="120"/>
      <c r="C47" s="68"/>
      <c r="F47" s="121"/>
      <c r="W47" t="str">
        <f t="shared" si="61"/>
        <v>VGS_11</v>
      </c>
      <c r="X47" t="str">
        <f t="shared" si="16"/>
        <v>VGS_11_475</v>
      </c>
      <c r="Y47" t="str">
        <f t="shared" si="62"/>
        <v>11</v>
      </c>
      <c r="Z47">
        <f t="shared" ref="Z47:Z52" si="102">Z46+25</f>
        <v>475</v>
      </c>
      <c r="AA47">
        <f t="shared" si="63"/>
        <v>30.4</v>
      </c>
      <c r="AB47" s="22">
        <f t="shared" si="86"/>
        <v>296</v>
      </c>
      <c r="AC47" s="4">
        <f t="shared" si="87"/>
        <v>375</v>
      </c>
      <c r="AD47" s="4">
        <f t="shared" si="88"/>
        <v>16.90335510675159</v>
      </c>
      <c r="AE47" s="25">
        <f t="shared" si="89"/>
        <v>20.914068024091584</v>
      </c>
      <c r="AF47" s="39">
        <f t="shared" si="22"/>
        <v>154</v>
      </c>
      <c r="AG47" s="15">
        <f t="shared" si="90"/>
        <v>100</v>
      </c>
      <c r="AH47" s="42">
        <f t="shared" si="91"/>
        <v>12.5</v>
      </c>
      <c r="AI47" s="4">
        <f t="shared" si="92"/>
        <v>37.69649384919952</v>
      </c>
      <c r="AJ47" s="25">
        <f t="shared" si="93"/>
        <v>24.478242759220471</v>
      </c>
      <c r="AK47" s="4"/>
      <c r="AL47" s="4">
        <f t="shared" si="27"/>
        <v>16.90335510675159</v>
      </c>
      <c r="AM47" t="str">
        <f t="shared" si="28"/>
        <v>LEGNO</v>
      </c>
      <c r="AN47" s="4">
        <f t="shared" si="29"/>
        <v>20.914068024091584</v>
      </c>
      <c r="AO47" t="str">
        <f t="shared" si="30"/>
        <v>LEGNO</v>
      </c>
      <c r="AR47" s="4">
        <f t="shared" si="94"/>
        <v>22.81952939411465</v>
      </c>
      <c r="AS47" t="str">
        <f t="shared" si="95"/>
        <v>LEGNO</v>
      </c>
      <c r="AT47" s="4">
        <f t="shared" si="96"/>
        <v>28.233991832523639</v>
      </c>
      <c r="AU47" t="str">
        <f t="shared" si="97"/>
        <v>LEGNO</v>
      </c>
      <c r="AX47" s="4">
        <f t="shared" si="98"/>
        <v>34.229294091171973</v>
      </c>
      <c r="AY47" t="str">
        <f t="shared" si="99"/>
        <v>LEGNO</v>
      </c>
      <c r="AZ47" s="4">
        <f t="shared" si="100"/>
        <v>38</v>
      </c>
      <c r="BA47" t="str">
        <f t="shared" si="101"/>
        <v>ACCIAIO</v>
      </c>
    </row>
    <row r="48" spans="2:53" ht="15" customHeight="1">
      <c r="B48" s="120"/>
      <c r="C48" s="68" t="s">
        <v>314</v>
      </c>
      <c r="D48" s="4">
        <f>MIN(D44,D46,D45)*AE10/AE11</f>
        <v>6.1742468844663536</v>
      </c>
      <c r="E48" t="s">
        <v>55</v>
      </c>
      <c r="F48" s="121" t="str">
        <f>VLOOKUP(D48*AE11/CLT!N12,D44:F46,3,FALSE)</f>
        <v>e</v>
      </c>
      <c r="W48" t="str">
        <f t="shared" si="61"/>
        <v>VGS_11</v>
      </c>
      <c r="X48" t="str">
        <f t="shared" si="16"/>
        <v>VGS_11_500</v>
      </c>
      <c r="Y48" t="str">
        <f t="shared" si="62"/>
        <v>11</v>
      </c>
      <c r="Z48">
        <f t="shared" si="102"/>
        <v>500</v>
      </c>
      <c r="AA48">
        <f t="shared" si="63"/>
        <v>30.4</v>
      </c>
      <c r="AB48" s="22">
        <f t="shared" si="86"/>
        <v>321</v>
      </c>
      <c r="AC48" s="4">
        <f t="shared" si="87"/>
        <v>400</v>
      </c>
      <c r="AD48" s="4">
        <f t="shared" si="88"/>
        <v>18.182973444474648</v>
      </c>
      <c r="AE48" s="25">
        <f t="shared" si="89"/>
        <v>22.164828101347375</v>
      </c>
      <c r="AF48" s="39">
        <f t="shared" si="22"/>
        <v>154</v>
      </c>
      <c r="AG48" s="15">
        <f t="shared" si="90"/>
        <v>100</v>
      </c>
      <c r="AH48" s="42">
        <f t="shared" si="91"/>
        <v>12.5</v>
      </c>
      <c r="AI48" s="4">
        <f t="shared" si="92"/>
        <v>37.69649384919952</v>
      </c>
      <c r="AJ48" s="25">
        <f t="shared" si="93"/>
        <v>24.478242759220471</v>
      </c>
      <c r="AK48" s="4"/>
      <c r="AL48" s="4">
        <f t="shared" si="27"/>
        <v>18.182973444474648</v>
      </c>
      <c r="AM48" t="str">
        <f t="shared" si="28"/>
        <v>LEGNO</v>
      </c>
      <c r="AN48" s="4">
        <f t="shared" si="29"/>
        <v>22.164828101347375</v>
      </c>
      <c r="AO48" t="str">
        <f t="shared" si="30"/>
        <v>LEGNO</v>
      </c>
      <c r="AR48" s="4">
        <f t="shared" si="94"/>
        <v>24.547014150040777</v>
      </c>
      <c r="AS48" t="str">
        <f t="shared" si="95"/>
        <v>LEGNO</v>
      </c>
      <c r="AT48" s="4">
        <f t="shared" si="96"/>
        <v>29.922517936818959</v>
      </c>
      <c r="AU48" t="str">
        <f t="shared" si="97"/>
        <v>LEGNO</v>
      </c>
      <c r="AX48" s="4">
        <f t="shared" si="98"/>
        <v>36.820521225061164</v>
      </c>
      <c r="AY48" t="str">
        <f t="shared" si="99"/>
        <v>LEGNO</v>
      </c>
      <c r="AZ48" s="4">
        <f t="shared" si="100"/>
        <v>38</v>
      </c>
      <c r="BA48" t="str">
        <f t="shared" si="101"/>
        <v>ACCIAIO</v>
      </c>
    </row>
    <row r="49" spans="2:53" ht="15" customHeight="1">
      <c r="B49" s="120"/>
      <c r="C49" s="68"/>
      <c r="F49" s="121"/>
      <c r="K49" s="9"/>
      <c r="W49" t="str">
        <f t="shared" si="61"/>
        <v>VGS_11</v>
      </c>
      <c r="X49" t="str">
        <f t="shared" si="16"/>
        <v>VGS_11_525</v>
      </c>
      <c r="Y49" t="str">
        <f t="shared" si="62"/>
        <v>11</v>
      </c>
      <c r="Z49">
        <f t="shared" si="102"/>
        <v>525</v>
      </c>
      <c r="AA49">
        <f t="shared" si="63"/>
        <v>30.4</v>
      </c>
      <c r="AB49" s="22">
        <f t="shared" si="86"/>
        <v>346</v>
      </c>
      <c r="AC49" s="4">
        <f t="shared" si="87"/>
        <v>425</v>
      </c>
      <c r="AD49" s="4">
        <f t="shared" si="88"/>
        <v>19.452654091706371</v>
      </c>
      <c r="AE49" s="25">
        <f t="shared" si="89"/>
        <v>23.407789987044442</v>
      </c>
      <c r="AF49" s="39">
        <f t="shared" si="22"/>
        <v>154</v>
      </c>
      <c r="AG49" s="15">
        <f t="shared" si="90"/>
        <v>100</v>
      </c>
      <c r="AH49" s="42">
        <f t="shared" si="91"/>
        <v>12.5</v>
      </c>
      <c r="AI49" s="4">
        <f t="shared" si="92"/>
        <v>37.69649384919952</v>
      </c>
      <c r="AJ49" s="25">
        <f t="shared" si="93"/>
        <v>24.478242759220471</v>
      </c>
      <c r="AK49" s="4"/>
      <c r="AL49" s="4">
        <f t="shared" si="27"/>
        <v>19.452654091706371</v>
      </c>
      <c r="AM49" t="str">
        <f t="shared" si="28"/>
        <v>LEGNO</v>
      </c>
      <c r="AN49" s="4">
        <f t="shared" si="29"/>
        <v>23.407789987044442</v>
      </c>
      <c r="AO49" t="str">
        <f t="shared" si="30"/>
        <v>LEGNO</v>
      </c>
      <c r="AR49" s="4">
        <f t="shared" si="94"/>
        <v>26.261083023803604</v>
      </c>
      <c r="AS49" t="str">
        <f t="shared" si="95"/>
        <v>LEGNO</v>
      </c>
      <c r="AT49" s="4">
        <f t="shared" si="96"/>
        <v>31.600516482509999</v>
      </c>
      <c r="AU49" t="str">
        <f t="shared" si="97"/>
        <v>LEGNO</v>
      </c>
      <c r="AX49" s="4">
        <f t="shared" si="98"/>
        <v>38</v>
      </c>
      <c r="AY49" t="str">
        <f t="shared" si="99"/>
        <v>ACCIAIO</v>
      </c>
      <c r="AZ49" s="4">
        <f t="shared" si="100"/>
        <v>38</v>
      </c>
      <c r="BA49" t="str">
        <f t="shared" si="101"/>
        <v>ACCIAIO</v>
      </c>
    </row>
    <row r="50" spans="2:53" ht="15" customHeight="1">
      <c r="B50" s="120"/>
      <c r="C50" s="68" t="s">
        <v>238</v>
      </c>
      <c r="D50" s="4">
        <f>2.3*(D40*10^3/(D41*E23))^0.5</f>
        <v>60.502178096441845</v>
      </c>
      <c r="E50" t="s">
        <v>35</v>
      </c>
      <c r="F50" s="121" t="str">
        <f>IF(D50&lt;I30,"OK","NO")</f>
        <v>OK</v>
      </c>
      <c r="K50" s="9"/>
      <c r="W50" t="str">
        <f t="shared" si="61"/>
        <v>VGS_11</v>
      </c>
      <c r="X50" t="str">
        <f t="shared" si="16"/>
        <v>VGS_11_550</v>
      </c>
      <c r="Y50" t="str">
        <f t="shared" si="62"/>
        <v>11</v>
      </c>
      <c r="Z50">
        <f t="shared" si="102"/>
        <v>550</v>
      </c>
      <c r="AA50">
        <f t="shared" si="63"/>
        <v>30.4</v>
      </c>
      <c r="AB50" s="22">
        <f t="shared" si="86"/>
        <v>371</v>
      </c>
      <c r="AC50" s="4">
        <f t="shared" si="87"/>
        <v>450</v>
      </c>
      <c r="AD50" s="4">
        <f t="shared" si="88"/>
        <v>20.713185469869224</v>
      </c>
      <c r="AE50" s="25">
        <f t="shared" si="89"/>
        <v>24.643457386885459</v>
      </c>
      <c r="AF50" s="39">
        <f t="shared" si="22"/>
        <v>154</v>
      </c>
      <c r="AG50" s="15">
        <f t="shared" si="90"/>
        <v>100</v>
      </c>
      <c r="AH50" s="42">
        <f t="shared" si="91"/>
        <v>12.5</v>
      </c>
      <c r="AI50" s="4">
        <f t="shared" si="92"/>
        <v>37.69649384919952</v>
      </c>
      <c r="AJ50" s="25">
        <f t="shared" si="93"/>
        <v>24.478242759220471</v>
      </c>
      <c r="AK50" s="4"/>
      <c r="AL50" s="4">
        <f t="shared" si="27"/>
        <v>20.713185469869224</v>
      </c>
      <c r="AM50" t="str">
        <f t="shared" si="28"/>
        <v>LEGNO</v>
      </c>
      <c r="AN50" s="4">
        <f t="shared" si="29"/>
        <v>24.478242759220471</v>
      </c>
      <c r="AO50" t="str">
        <f t="shared" si="30"/>
        <v>CALCESTRUZZO</v>
      </c>
      <c r="AR50" s="4">
        <f t="shared" si="94"/>
        <v>27.962800384323454</v>
      </c>
      <c r="AS50" t="str">
        <f t="shared" si="95"/>
        <v>LEGNO</v>
      </c>
      <c r="AT50" s="4">
        <f t="shared" si="96"/>
        <v>33.26866747229537</v>
      </c>
      <c r="AU50" t="str">
        <f t="shared" si="97"/>
        <v>LEGNO</v>
      </c>
      <c r="AX50" s="4">
        <f t="shared" si="98"/>
        <v>38</v>
      </c>
      <c r="AY50" t="str">
        <f t="shared" si="99"/>
        <v>ACCIAIO</v>
      </c>
      <c r="AZ50" s="4">
        <f t="shared" si="100"/>
        <v>38</v>
      </c>
      <c r="BA50" t="str">
        <f t="shared" si="101"/>
        <v>ACCIAIO</v>
      </c>
    </row>
    <row r="51" spans="2:53" ht="15" customHeight="1">
      <c r="B51" s="120"/>
      <c r="F51" s="121"/>
      <c r="W51" t="str">
        <f t="shared" si="61"/>
        <v>VGS_11</v>
      </c>
      <c r="X51" t="str">
        <f t="shared" si="16"/>
        <v>VGS_11_575</v>
      </c>
      <c r="Y51" t="str">
        <f t="shared" si="62"/>
        <v>11</v>
      </c>
      <c r="Z51">
        <f t="shared" si="102"/>
        <v>575</v>
      </c>
      <c r="AA51">
        <f t="shared" si="63"/>
        <v>30.4</v>
      </c>
      <c r="AB51" s="22">
        <f t="shared" si="86"/>
        <v>396</v>
      </c>
      <c r="AC51" s="4">
        <f t="shared" si="87"/>
        <v>475</v>
      </c>
      <c r="AD51" s="4">
        <f t="shared" si="88"/>
        <v>21.965244539057114</v>
      </c>
      <c r="AE51" s="25">
        <f t="shared" si="89"/>
        <v>25.872275309469348</v>
      </c>
      <c r="AF51" s="39">
        <f t="shared" si="22"/>
        <v>154</v>
      </c>
      <c r="AG51" s="15">
        <f t="shared" si="90"/>
        <v>100</v>
      </c>
      <c r="AH51" s="42">
        <f t="shared" si="91"/>
        <v>12.5</v>
      </c>
      <c r="AI51" s="4">
        <f t="shared" si="92"/>
        <v>37.69649384919952</v>
      </c>
      <c r="AJ51" s="25">
        <f t="shared" si="93"/>
        <v>24.478242759220471</v>
      </c>
      <c r="AK51" s="4"/>
      <c r="AL51" s="4">
        <f t="shared" si="27"/>
        <v>21.965244539057114</v>
      </c>
      <c r="AM51" t="str">
        <f t="shared" si="28"/>
        <v>LEGNO</v>
      </c>
      <c r="AN51" s="4">
        <f t="shared" si="29"/>
        <v>24.478242759220471</v>
      </c>
      <c r="AO51" t="str">
        <f t="shared" si="30"/>
        <v>CALCESTRUZZO</v>
      </c>
      <c r="AR51" s="4">
        <f t="shared" si="94"/>
        <v>29.653080127727105</v>
      </c>
      <c r="AS51" t="str">
        <f t="shared" si="95"/>
        <v>LEGNO</v>
      </c>
      <c r="AT51" s="4">
        <f t="shared" si="96"/>
        <v>34.927571667783624</v>
      </c>
      <c r="AU51" t="str">
        <f t="shared" si="97"/>
        <v>LEGNO</v>
      </c>
      <c r="AX51" s="4">
        <f t="shared" si="98"/>
        <v>38</v>
      </c>
      <c r="AY51" t="str">
        <f t="shared" si="99"/>
        <v>ACCIAIO</v>
      </c>
      <c r="AZ51" s="4">
        <f t="shared" si="100"/>
        <v>38</v>
      </c>
      <c r="BA51" t="str">
        <f t="shared" si="101"/>
        <v>ACCIAIO</v>
      </c>
    </row>
    <row r="52" spans="2:53" ht="15" customHeight="1">
      <c r="B52" s="120"/>
      <c r="C52" s="260" t="str">
        <f>traduzioni!A179</f>
        <v>Lateral stiffness for single screw</v>
      </c>
      <c r="D52" s="260"/>
      <c r="E52" s="260"/>
      <c r="F52" s="129"/>
      <c r="W52" t="str">
        <f t="shared" si="61"/>
        <v>VGS_11</v>
      </c>
      <c r="X52" t="str">
        <f t="shared" si="16"/>
        <v>VGS_11_600</v>
      </c>
      <c r="Y52" t="str">
        <f t="shared" si="62"/>
        <v>11</v>
      </c>
      <c r="Z52">
        <f t="shared" si="102"/>
        <v>600</v>
      </c>
      <c r="AA52">
        <f t="shared" si="63"/>
        <v>30.4</v>
      </c>
      <c r="AB52" s="22">
        <f t="shared" si="86"/>
        <v>421</v>
      </c>
      <c r="AC52" s="4">
        <f t="shared" si="87"/>
        <v>500</v>
      </c>
      <c r="AD52" s="4">
        <f t="shared" si="88"/>
        <v>23.20941860578759</v>
      </c>
      <c r="AE52" s="25">
        <f t="shared" si="89"/>
        <v>27.094639636785931</v>
      </c>
      <c r="AF52" s="39">
        <f t="shared" si="22"/>
        <v>154</v>
      </c>
      <c r="AG52" s="15">
        <f t="shared" si="90"/>
        <v>100</v>
      </c>
      <c r="AH52" s="42">
        <f t="shared" si="91"/>
        <v>12.5</v>
      </c>
      <c r="AI52" s="4">
        <f t="shared" si="92"/>
        <v>37.69649384919952</v>
      </c>
      <c r="AJ52" s="25">
        <f t="shared" si="93"/>
        <v>24.478242759220471</v>
      </c>
      <c r="AK52" s="4"/>
      <c r="AL52" s="4">
        <f t="shared" si="27"/>
        <v>23.20941860578759</v>
      </c>
      <c r="AM52" t="str">
        <f t="shared" si="28"/>
        <v>LEGNO</v>
      </c>
      <c r="AN52" s="4">
        <f t="shared" si="29"/>
        <v>24.478242759220471</v>
      </c>
      <c r="AO52" t="str">
        <f t="shared" si="30"/>
        <v>CALCESTRUZZO</v>
      </c>
      <c r="AR52" s="4">
        <f t="shared" si="94"/>
        <v>31.332715117813247</v>
      </c>
      <c r="AS52" t="str">
        <f t="shared" si="95"/>
        <v>LEGNO</v>
      </c>
      <c r="AT52" s="4">
        <f t="shared" si="96"/>
        <v>36.577763509661011</v>
      </c>
      <c r="AU52" t="str">
        <f t="shared" si="97"/>
        <v>LEGNO</v>
      </c>
      <c r="AX52" s="4">
        <f t="shared" si="98"/>
        <v>38</v>
      </c>
      <c r="AY52" t="str">
        <f t="shared" si="99"/>
        <v>ACCIAIO</v>
      </c>
      <c r="AZ52" s="4">
        <f t="shared" si="100"/>
        <v>38</v>
      </c>
      <c r="BA52" t="str">
        <f t="shared" si="101"/>
        <v>ACCIAIO</v>
      </c>
    </row>
    <row r="53" spans="2:53" ht="15" customHeight="1">
      <c r="B53" s="128"/>
      <c r="C53" s="68" t="s">
        <v>252</v>
      </c>
      <c r="D53" s="9">
        <f>2*60*(0.7*E23)^1.7</f>
        <v>3856.6966343319555</v>
      </c>
      <c r="E53" t="s">
        <v>253</v>
      </c>
      <c r="F53" s="192" t="s">
        <v>430</v>
      </c>
      <c r="S53" s="34" t="s">
        <v>242</v>
      </c>
      <c r="T53" s="126">
        <v>100</v>
      </c>
      <c r="W53" t="str">
        <f t="shared" si="61"/>
        <v>VGS_11</v>
      </c>
      <c r="X53" t="str">
        <f t="shared" si="16"/>
        <v>VGS_11_650</v>
      </c>
      <c r="Y53" t="str">
        <f t="shared" si="62"/>
        <v>11</v>
      </c>
      <c r="Z53">
        <f>Z52+50</f>
        <v>650</v>
      </c>
      <c r="AA53">
        <f t="shared" si="63"/>
        <v>30.4</v>
      </c>
      <c r="AB53" s="22">
        <f t="shared" ref="AB53:AB56" si="103">Z53-AF53-25</f>
        <v>471</v>
      </c>
      <c r="AC53" s="4">
        <f t="shared" ref="AC53:AC56" si="104">Z53-AG53</f>
        <v>550</v>
      </c>
      <c r="AD53" s="4">
        <f t="shared" ref="AD53:AD56" si="105">((20*(Y53^0.8)*AB53^0.9)/1000)*$AE$10/$AE$9</f>
        <v>25.676107878594259</v>
      </c>
      <c r="AE53" s="25">
        <f t="shared" ref="AE53:AE56" si="106">((20*(Y53^0.8)*AC53^0.9)/1000)*$AE$10/$AE$9</f>
        <v>29.521389569562881</v>
      </c>
      <c r="AF53" s="39">
        <f t="shared" ref="AF53:AF56" si="107">MAX(14*Y53,150)</f>
        <v>154</v>
      </c>
      <c r="AG53" s="15">
        <f t="shared" ref="AG53:AG56" si="108">MAX(9*Y53,100)</f>
        <v>100</v>
      </c>
      <c r="AH53" s="42">
        <f t="shared" ref="AH53:AH56" si="109">VLOOKUP(W53,$E$11:$I$14,4,FALSE)</f>
        <v>12.5</v>
      </c>
      <c r="AI53" s="4">
        <f t="shared" ref="AI53:AI56" si="110">((Y53*PI())*AF53)*(AH53*$AE$18/$AE$17)/1000</f>
        <v>37.69649384919952</v>
      </c>
      <c r="AJ53" s="25">
        <f t="shared" ref="AJ53:AJ56" si="111">((Y53*PI())*AG53)*(AH53*$AE$18/$AE$17)/1000</f>
        <v>24.478242759220471</v>
      </c>
      <c r="AK53" s="4"/>
      <c r="AL53" s="4">
        <f t="shared" ref="AL53:AL56" si="112">MIN(AA53,AD53,AI53)</f>
        <v>25.676107878594259</v>
      </c>
      <c r="AM53" t="str">
        <f t="shared" ref="AM53:AM56" si="113">IF(AL53=AA53,"ACCIAIO",IF(AL53=AD53,"LEGNO",IF(AL53=AI53," CALCESTRUZZO")))</f>
        <v>LEGNO</v>
      </c>
      <c r="AN53" s="4">
        <f t="shared" ref="AN53:AN56" si="114">MIN(AA53,AE53,AJ53)</f>
        <v>24.478242759220471</v>
      </c>
      <c r="AO53" t="str">
        <f t="shared" ref="AO53:AO56" si="115">IF(AN53=AA53,"ACCIAIO",IF(AN53=AE53,"LEGNO",IF(AN53=AJ53,"CALCESTRUZZO")))</f>
        <v>CALCESTRUZZO</v>
      </c>
      <c r="AR53" s="4">
        <f t="shared" ref="AR53:AR56" si="116">MIN(AA53*$AE$14,AD53*$AE$9/$AE$10,AI53*$AE$17/$AE$18)</f>
        <v>34.662745636102251</v>
      </c>
      <c r="AS53" t="str">
        <f t="shared" ref="AS53:AS56" si="117">IF(AR53=AA53*$AE$14,"ACCIAIO",IF(AR53=AD53*$AE$9/$AE$10,"LEGNO",IF(AR53=AI53*$AE$17/$AE$18," CALCESTRUZZO")))</f>
        <v>LEGNO</v>
      </c>
      <c r="AT53" s="4">
        <f t="shared" ref="AT53:AT56" si="118">MIN(AA53*$AE$14,AE53*$AE$9/$AE$10,AJ53*$AE$17/$AE$18)</f>
        <v>38</v>
      </c>
      <c r="AU53" t="str">
        <f t="shared" ref="AU53:AU56" si="119">IF(AT53=AA53*$AE$14,"ACCIAIO",IF(AT53=AE53*$AE$9/$AE$10,"LEGNO",IF(AT53=AJ53*$AE$17/$AE$18," CALCESTRUZZO")))</f>
        <v>ACCIAIO</v>
      </c>
      <c r="AX53" s="4">
        <f t="shared" ref="AX53:AX56" si="120">MIN(AA53*$AE$14,$AZ$18*AD53*$AE$9/$AE$10,AI53*$AE$17/$AE$18)</f>
        <v>38</v>
      </c>
      <c r="AY53" t="str">
        <f t="shared" ref="AY53:AY56" si="121">IF(AX53=AA53*$AE$14,"ACCIAIO",IF(AX53=$AZ$18*AD53*$AE$9/$AE$10,"LEGNO",IF(AX53=AI53*$AE$17/$AE$18," CALCESTRUZZO")))</f>
        <v>ACCIAIO</v>
      </c>
      <c r="AZ53" s="4">
        <f t="shared" ref="AZ53:AZ56" si="122">MIN(AA53*$AE$14,$AZ$18*AE53*$AE$9/$AE$10,AJ53*$AE$17/$AE$18)</f>
        <v>38</v>
      </c>
      <c r="BA53" t="str">
        <f t="shared" ref="BA53:BA56" si="123">IF(AZ53=AA53*$AE$14,"ACCIAIO",IF(AZ53=$AZ$18*AE53*$AE$9/$AE$10,"LEGNO",IF(AZ53=AJ53*$AE$17/$AE$18," CALCESTRUZZO")))</f>
        <v>ACCIAIO</v>
      </c>
    </row>
    <row r="54" spans="2:53" ht="15" customHeight="1">
      <c r="B54" s="120"/>
      <c r="F54" s="121"/>
      <c r="S54" s="34" t="s">
        <v>240</v>
      </c>
      <c r="T54" s="34" t="s">
        <v>241</v>
      </c>
      <c r="U54" t="s">
        <v>243</v>
      </c>
      <c r="W54" t="str">
        <f t="shared" si="61"/>
        <v>VGS_11</v>
      </c>
      <c r="X54" t="str">
        <f t="shared" si="16"/>
        <v>VGS_11_700</v>
      </c>
      <c r="Y54" t="str">
        <f t="shared" si="62"/>
        <v>11</v>
      </c>
      <c r="Z54">
        <f t="shared" ref="Z54:Z60" si="124">Z53+50</f>
        <v>700</v>
      </c>
      <c r="AA54">
        <f t="shared" si="63"/>
        <v>30.4</v>
      </c>
      <c r="AB54" s="22">
        <f t="shared" si="103"/>
        <v>521</v>
      </c>
      <c r="AC54" s="4">
        <f t="shared" si="104"/>
        <v>600</v>
      </c>
      <c r="AD54" s="4">
        <f t="shared" si="105"/>
        <v>28.116698652609028</v>
      </c>
      <c r="AE54" s="25">
        <f t="shared" si="106"/>
        <v>31.926146387828492</v>
      </c>
      <c r="AF54" s="39">
        <f t="shared" si="107"/>
        <v>154</v>
      </c>
      <c r="AG54" s="15">
        <f t="shared" si="108"/>
        <v>100</v>
      </c>
      <c r="AH54" s="42">
        <f t="shared" si="109"/>
        <v>12.5</v>
      </c>
      <c r="AI54" s="4">
        <f t="shared" si="110"/>
        <v>37.69649384919952</v>
      </c>
      <c r="AJ54" s="25">
        <f t="shared" si="111"/>
        <v>24.478242759220471</v>
      </c>
      <c r="AK54" s="4"/>
      <c r="AL54" s="4">
        <f t="shared" si="112"/>
        <v>28.116698652609028</v>
      </c>
      <c r="AM54" t="str">
        <f t="shared" si="113"/>
        <v>LEGNO</v>
      </c>
      <c r="AN54" s="4">
        <f t="shared" si="114"/>
        <v>24.478242759220471</v>
      </c>
      <c r="AO54" t="str">
        <f t="shared" si="115"/>
        <v>CALCESTRUZZO</v>
      </c>
      <c r="AR54" s="4">
        <f t="shared" si="116"/>
        <v>37.957543181022189</v>
      </c>
      <c r="AS54" t="str">
        <f t="shared" si="117"/>
        <v>LEGNO</v>
      </c>
      <c r="AT54" s="4">
        <f t="shared" si="118"/>
        <v>38</v>
      </c>
      <c r="AU54" t="str">
        <f t="shared" si="119"/>
        <v>ACCIAIO</v>
      </c>
      <c r="AX54" s="4">
        <f t="shared" si="120"/>
        <v>38</v>
      </c>
      <c r="AY54" t="str">
        <f t="shared" si="121"/>
        <v>ACCIAIO</v>
      </c>
      <c r="AZ54" s="4">
        <f t="shared" si="122"/>
        <v>38</v>
      </c>
      <c r="BA54" t="str">
        <f t="shared" si="123"/>
        <v>ACCIAIO</v>
      </c>
    </row>
    <row r="55" spans="2:53" ht="15" customHeight="1">
      <c r="B55" s="122"/>
      <c r="C55" s="115"/>
      <c r="D55" s="115"/>
      <c r="E55" s="115"/>
      <c r="F55" s="123"/>
      <c r="S55" s="127">
        <f>(D41*I30*E23*(((2+(4*D40/(D41*E23*I30^2)))^0.5)-1))/1000</f>
        <v>7.1439627030425541</v>
      </c>
      <c r="T55" s="127">
        <f>IF(I34=I32,I34/4*(AE11/AE10),IF(I34=I31,I34/4*AE14))</f>
        <v>5.0764506152638642</v>
      </c>
      <c r="U55" s="4">
        <f>MIN(T55,S55*($T$53/100))</f>
        <v>5.0764506152638642</v>
      </c>
      <c r="W55" t="str">
        <f t="shared" si="61"/>
        <v>VGS_11</v>
      </c>
      <c r="X55" t="str">
        <f t="shared" si="16"/>
        <v>VGS_11_750</v>
      </c>
      <c r="Y55" t="str">
        <f t="shared" si="62"/>
        <v>11</v>
      </c>
      <c r="Z55">
        <f t="shared" si="124"/>
        <v>750</v>
      </c>
      <c r="AA55">
        <f t="shared" si="63"/>
        <v>30.4</v>
      </c>
      <c r="AB55" s="22">
        <f t="shared" si="103"/>
        <v>571</v>
      </c>
      <c r="AC55" s="4">
        <f t="shared" si="104"/>
        <v>650</v>
      </c>
      <c r="AD55" s="4">
        <f t="shared" si="105"/>
        <v>30.533941747774971</v>
      </c>
      <c r="AE55" s="25">
        <f t="shared" si="106"/>
        <v>34.310922611411911</v>
      </c>
      <c r="AF55" s="39">
        <f t="shared" si="107"/>
        <v>154</v>
      </c>
      <c r="AG55" s="15">
        <f t="shared" si="108"/>
        <v>100</v>
      </c>
      <c r="AH55" s="42">
        <f t="shared" si="109"/>
        <v>12.5</v>
      </c>
      <c r="AI55" s="4">
        <f t="shared" si="110"/>
        <v>37.69649384919952</v>
      </c>
      <c r="AJ55" s="25">
        <f t="shared" si="111"/>
        <v>24.478242759220471</v>
      </c>
      <c r="AK55" s="4"/>
      <c r="AL55" s="4">
        <f t="shared" si="112"/>
        <v>30.4</v>
      </c>
      <c r="AM55" t="str">
        <f t="shared" si="113"/>
        <v>ACCIAIO</v>
      </c>
      <c r="AN55" s="4">
        <f t="shared" si="114"/>
        <v>24.478242759220471</v>
      </c>
      <c r="AO55" t="str">
        <f t="shared" si="115"/>
        <v>CALCESTRUZZO</v>
      </c>
      <c r="AR55" s="4">
        <f t="shared" si="116"/>
        <v>38</v>
      </c>
      <c r="AS55" t="str">
        <f t="shared" si="117"/>
        <v>ACCIAIO</v>
      </c>
      <c r="AT55" s="4">
        <f t="shared" si="118"/>
        <v>38</v>
      </c>
      <c r="AU55" t="str">
        <f t="shared" si="119"/>
        <v>ACCIAIO</v>
      </c>
      <c r="AX55" s="4">
        <f t="shared" si="120"/>
        <v>38</v>
      </c>
      <c r="AY55" t="str">
        <f t="shared" si="121"/>
        <v>ACCIAIO</v>
      </c>
      <c r="AZ55" s="4">
        <f t="shared" si="122"/>
        <v>38</v>
      </c>
      <c r="BA55" t="str">
        <f t="shared" si="123"/>
        <v>ACCIAIO</v>
      </c>
    </row>
    <row r="56" spans="2:53" ht="15" customHeight="1">
      <c r="S56" s="127">
        <f>(2.3*(D40*1000*D41*E23)^0.5)/1000</f>
        <v>4.01326047490313</v>
      </c>
      <c r="T56" s="127">
        <f>IF(I34=I32,I32/4*(AE11/AE10),IF(I34=I31,I31/4*AE14))</f>
        <v>5.0764506152638642</v>
      </c>
      <c r="U56" s="4">
        <f>MIN(T56,S56*($T$53/100))</f>
        <v>4.01326047490313</v>
      </c>
      <c r="W56" t="str">
        <f t="shared" si="61"/>
        <v>VGS_11</v>
      </c>
      <c r="X56" t="str">
        <f t="shared" si="16"/>
        <v>VGS_11_800</v>
      </c>
      <c r="Y56" t="str">
        <f t="shared" si="62"/>
        <v>11</v>
      </c>
      <c r="Z56">
        <f t="shared" si="124"/>
        <v>800</v>
      </c>
      <c r="AA56">
        <f t="shared" si="63"/>
        <v>30.4</v>
      </c>
      <c r="AB56" s="22">
        <f t="shared" si="103"/>
        <v>621</v>
      </c>
      <c r="AC56" s="4">
        <f t="shared" si="104"/>
        <v>700</v>
      </c>
      <c r="AD56" s="4">
        <f t="shared" si="105"/>
        <v>32.930082249761206</v>
      </c>
      <c r="AE56" s="25">
        <f t="shared" si="106"/>
        <v>36.677405880800201</v>
      </c>
      <c r="AF56" s="39">
        <f t="shared" si="107"/>
        <v>154</v>
      </c>
      <c r="AG56" s="15">
        <f t="shared" si="108"/>
        <v>100</v>
      </c>
      <c r="AH56" s="42">
        <f t="shared" si="109"/>
        <v>12.5</v>
      </c>
      <c r="AI56" s="4">
        <f t="shared" si="110"/>
        <v>37.69649384919952</v>
      </c>
      <c r="AJ56" s="25">
        <f t="shared" si="111"/>
        <v>24.478242759220471</v>
      </c>
      <c r="AK56" s="4"/>
      <c r="AL56" s="4">
        <f t="shared" si="112"/>
        <v>30.4</v>
      </c>
      <c r="AM56" t="str">
        <f t="shared" si="113"/>
        <v>ACCIAIO</v>
      </c>
      <c r="AN56" s="4">
        <f t="shared" si="114"/>
        <v>24.478242759220471</v>
      </c>
      <c r="AO56" t="str">
        <f t="shared" si="115"/>
        <v>CALCESTRUZZO</v>
      </c>
      <c r="AR56" s="4">
        <f t="shared" si="116"/>
        <v>38</v>
      </c>
      <c r="AS56" t="str">
        <f t="shared" si="117"/>
        <v>ACCIAIO</v>
      </c>
      <c r="AT56" s="4">
        <f t="shared" si="118"/>
        <v>38</v>
      </c>
      <c r="AU56" t="str">
        <f t="shared" si="119"/>
        <v>ACCIAIO</v>
      </c>
      <c r="AX56" s="4">
        <f t="shared" si="120"/>
        <v>38</v>
      </c>
      <c r="AY56" t="str">
        <f t="shared" si="121"/>
        <v>ACCIAIO</v>
      </c>
      <c r="AZ56" s="4">
        <f t="shared" si="122"/>
        <v>38</v>
      </c>
      <c r="BA56" t="str">
        <f t="shared" si="123"/>
        <v>ACCIAIO</v>
      </c>
    </row>
    <row r="57" spans="2:53" ht="15" customHeight="1">
      <c r="W57" t="str">
        <f t="shared" si="61"/>
        <v>VGS_11</v>
      </c>
      <c r="X57" t="str">
        <f t="shared" si="16"/>
        <v>VGS_11_850</v>
      </c>
      <c r="Y57" t="str">
        <f t="shared" si="62"/>
        <v>11</v>
      </c>
      <c r="Z57">
        <f t="shared" si="124"/>
        <v>850</v>
      </c>
      <c r="AA57">
        <f t="shared" si="63"/>
        <v>30.4</v>
      </c>
      <c r="AB57" s="22">
        <f t="shared" si="86"/>
        <v>671</v>
      </c>
      <c r="AC57" s="4">
        <f t="shared" si="87"/>
        <v>750</v>
      </c>
      <c r="AD57" s="4">
        <f t="shared" si="88"/>
        <v>35.306985844405865</v>
      </c>
      <c r="AE57" s="25">
        <f t="shared" si="89"/>
        <v>39.027030907444932</v>
      </c>
      <c r="AF57" s="39">
        <f>MAX(14*Y57,150)</f>
        <v>154</v>
      </c>
      <c r="AG57" s="15">
        <f t="shared" si="90"/>
        <v>100</v>
      </c>
      <c r="AH57" s="42">
        <f t="shared" si="91"/>
        <v>12.5</v>
      </c>
      <c r="AI57" s="4">
        <f t="shared" si="92"/>
        <v>37.69649384919952</v>
      </c>
      <c r="AJ57" s="25">
        <f t="shared" si="93"/>
        <v>24.478242759220471</v>
      </c>
      <c r="AK57" s="4"/>
      <c r="AL57" s="4">
        <f t="shared" si="27"/>
        <v>30.4</v>
      </c>
      <c r="AM57" t="str">
        <f t="shared" si="28"/>
        <v>ACCIAIO</v>
      </c>
      <c r="AN57" s="4">
        <f t="shared" si="29"/>
        <v>24.478242759220471</v>
      </c>
      <c r="AO57" t="str">
        <f t="shared" si="30"/>
        <v>CALCESTRUZZO</v>
      </c>
      <c r="AR57" s="4">
        <f t="shared" si="94"/>
        <v>38</v>
      </c>
      <c r="AS57" t="str">
        <f t="shared" si="95"/>
        <v>ACCIAIO</v>
      </c>
      <c r="AT57" s="4">
        <f t="shared" si="96"/>
        <v>38</v>
      </c>
      <c r="AU57" t="str">
        <f t="shared" si="97"/>
        <v>ACCIAIO</v>
      </c>
      <c r="AX57" s="4">
        <f t="shared" si="98"/>
        <v>38</v>
      </c>
      <c r="AY57" t="str">
        <f t="shared" si="99"/>
        <v>ACCIAIO</v>
      </c>
      <c r="AZ57" s="4">
        <f t="shared" si="100"/>
        <v>38</v>
      </c>
      <c r="BA57" t="str">
        <f t="shared" si="101"/>
        <v>ACCIAIO</v>
      </c>
    </row>
    <row r="58" spans="2:53" ht="15" customHeight="1">
      <c r="W58" t="str">
        <f t="shared" si="61"/>
        <v>VGS_11</v>
      </c>
      <c r="X58" t="str">
        <f t="shared" si="16"/>
        <v>VGS_11_900</v>
      </c>
      <c r="Y58" t="str">
        <f t="shared" si="62"/>
        <v>11</v>
      </c>
      <c r="Z58">
        <f t="shared" si="124"/>
        <v>900</v>
      </c>
      <c r="AA58">
        <f t="shared" si="63"/>
        <v>30.4</v>
      </c>
      <c r="AB58" s="22">
        <f t="shared" si="86"/>
        <v>721</v>
      </c>
      <c r="AC58" s="4">
        <f t="shared" si="87"/>
        <v>800</v>
      </c>
      <c r="AD58" s="4">
        <f t="shared" si="88"/>
        <v>37.666226491767056</v>
      </c>
      <c r="AE58" s="25">
        <f t="shared" si="89"/>
        <v>41.361031740598477</v>
      </c>
      <c r="AF58" s="39">
        <f t="shared" ref="AF58:AF60" si="125">MAX(14*Y58,150)</f>
        <v>154</v>
      </c>
      <c r="AG58" s="15">
        <f t="shared" si="90"/>
        <v>100</v>
      </c>
      <c r="AH58" s="42">
        <f t="shared" si="91"/>
        <v>12.5</v>
      </c>
      <c r="AI58" s="4">
        <f t="shared" si="92"/>
        <v>37.69649384919952</v>
      </c>
      <c r="AJ58" s="25">
        <f t="shared" si="93"/>
        <v>24.478242759220471</v>
      </c>
      <c r="AK58" s="4"/>
      <c r="AL58" s="4">
        <f t="shared" si="27"/>
        <v>30.4</v>
      </c>
      <c r="AM58" t="str">
        <f t="shared" si="28"/>
        <v>ACCIAIO</v>
      </c>
      <c r="AN58" s="4">
        <f t="shared" si="29"/>
        <v>24.478242759220471</v>
      </c>
      <c r="AO58" t="str">
        <f t="shared" si="30"/>
        <v>CALCESTRUZZO</v>
      </c>
      <c r="AR58" s="4">
        <f t="shared" si="94"/>
        <v>38</v>
      </c>
      <c r="AS58" t="str">
        <f t="shared" si="95"/>
        <v>ACCIAIO</v>
      </c>
      <c r="AT58" s="4">
        <f t="shared" si="96"/>
        <v>38</v>
      </c>
      <c r="AU58" t="str">
        <f t="shared" si="97"/>
        <v>ACCIAIO</v>
      </c>
      <c r="AX58" s="4">
        <f t="shared" si="98"/>
        <v>38</v>
      </c>
      <c r="AY58" t="str">
        <f t="shared" si="99"/>
        <v>ACCIAIO</v>
      </c>
      <c r="AZ58" s="4">
        <f t="shared" si="100"/>
        <v>38</v>
      </c>
      <c r="BA58" t="str">
        <f t="shared" si="101"/>
        <v>ACCIAIO</v>
      </c>
    </row>
    <row r="59" spans="2:53" ht="15" customHeight="1">
      <c r="W59" t="str">
        <f t="shared" si="61"/>
        <v>VGS_11</v>
      </c>
      <c r="X59" t="str">
        <f t="shared" si="16"/>
        <v>VGS_11_950</v>
      </c>
      <c r="Y59" t="str">
        <f t="shared" si="62"/>
        <v>11</v>
      </c>
      <c r="Z59">
        <f t="shared" si="124"/>
        <v>950</v>
      </c>
      <c r="AA59">
        <f t="shared" si="63"/>
        <v>30.4</v>
      </c>
      <c r="AB59" s="22">
        <f t="shared" ref="AB59" si="126">Z59-AF59-25</f>
        <v>771</v>
      </c>
      <c r="AC59" s="4">
        <f t="shared" ref="AC59" si="127">Z59-AG59</f>
        <v>850</v>
      </c>
      <c r="AD59" s="4">
        <f t="shared" ref="AD59" si="128">((20*(Y59^0.8)*AB59^0.9)/1000)*$AE$10/$AE$9</f>
        <v>40.009149144306875</v>
      </c>
      <c r="AE59" s="25">
        <f t="shared" ref="AE59" si="129">((20*(Y59^0.8)*AC59^0.9)/1000)*$AE$10/$AE$9</f>
        <v>43.680480633754811</v>
      </c>
      <c r="AF59" s="39">
        <f t="shared" ref="AF59" si="130">MAX(14*Y59,150)</f>
        <v>154</v>
      </c>
      <c r="AG59" s="15">
        <f t="shared" ref="AG59" si="131">MAX(9*Y59,100)</f>
        <v>100</v>
      </c>
      <c r="AH59" s="42">
        <f t="shared" ref="AH59" si="132">VLOOKUP(W59,$E$11:$I$14,4,FALSE)</f>
        <v>12.5</v>
      </c>
      <c r="AI59" s="4">
        <f t="shared" ref="AI59" si="133">((Y59*PI())*AF59)*(AH59*$AE$18/$AE$17)/1000</f>
        <v>37.69649384919952</v>
      </c>
      <c r="AJ59" s="25">
        <f t="shared" ref="AJ59" si="134">((Y59*PI())*AG59)*(AH59*$AE$18/$AE$17)/1000</f>
        <v>24.478242759220471</v>
      </c>
      <c r="AK59" s="4"/>
      <c r="AL59" s="4">
        <f t="shared" ref="AL59" si="135">MIN(AA59,AD59,AI59)</f>
        <v>30.4</v>
      </c>
      <c r="AM59" t="str">
        <f t="shared" ref="AM59" si="136">IF(AL59=AA59,"ACCIAIO",IF(AL59=AD59,"LEGNO",IF(AL59=AI59," CALCESTRUZZO")))</f>
        <v>ACCIAIO</v>
      </c>
      <c r="AN59" s="4">
        <f t="shared" ref="AN59" si="137">MIN(AA59,AE59,AJ59)</f>
        <v>24.478242759220471</v>
      </c>
      <c r="AO59" t="str">
        <f t="shared" ref="AO59" si="138">IF(AN59=AA59,"ACCIAIO",IF(AN59=AE59,"LEGNO",IF(AN59=AJ59,"CALCESTRUZZO")))</f>
        <v>CALCESTRUZZO</v>
      </c>
      <c r="AR59" s="4">
        <f t="shared" ref="AR59" si="139">MIN(AA59*$AE$14,AD59*$AE$9/$AE$10,AI59*$AE$17/$AE$18)</f>
        <v>38</v>
      </c>
      <c r="AS59" t="str">
        <f t="shared" ref="AS59" si="140">IF(AR59=AA59*$AE$14,"ACCIAIO",IF(AR59=AD59*$AE$9/$AE$10,"LEGNO",IF(AR59=AI59*$AE$17/$AE$18," CALCESTRUZZO")))</f>
        <v>ACCIAIO</v>
      </c>
      <c r="AT59" s="4">
        <f t="shared" ref="AT59" si="141">MIN(AA59*$AE$14,AE59*$AE$9/$AE$10,AJ59*$AE$17/$AE$18)</f>
        <v>38</v>
      </c>
      <c r="AU59" t="str">
        <f t="shared" ref="AU59" si="142">IF(AT59=AA59*$AE$14,"ACCIAIO",IF(AT59=AE59*$AE$9/$AE$10,"LEGNO",IF(AT59=AJ59*$AE$17/$AE$18," CALCESTRUZZO")))</f>
        <v>ACCIAIO</v>
      </c>
      <c r="AX59" s="4">
        <f t="shared" ref="AX59" si="143">MIN(AA59*$AE$14,$AZ$18*AD59*$AE$9/$AE$10,AI59*$AE$17/$AE$18)</f>
        <v>38</v>
      </c>
      <c r="AY59" t="str">
        <f t="shared" ref="AY59" si="144">IF(AX59=AA59*$AE$14,"ACCIAIO",IF(AX59=$AZ$18*AD59*$AE$9/$AE$10,"LEGNO",IF(AX59=AI59*$AE$17/$AE$18," CALCESTRUZZO")))</f>
        <v>ACCIAIO</v>
      </c>
      <c r="AZ59" s="4">
        <f t="shared" ref="AZ59" si="145">MIN(AA59*$AE$14,$AZ$18*AE59*$AE$9/$AE$10,AJ59*$AE$17/$AE$18)</f>
        <v>38</v>
      </c>
      <c r="BA59" t="str">
        <f t="shared" ref="BA59" si="146">IF(AZ59=AA59*$AE$14,"ACCIAIO",IF(AZ59=$AZ$18*AE59*$AE$9/$AE$10,"LEGNO",IF(AZ59=AJ59*$AE$17/$AE$18," CALCESTRUZZO")))</f>
        <v>ACCIAIO</v>
      </c>
    </row>
    <row r="60" spans="2:53" ht="15" customHeight="1">
      <c r="W60" t="str">
        <f t="shared" si="61"/>
        <v>VGS_11</v>
      </c>
      <c r="X60" t="str">
        <f t="shared" si="16"/>
        <v>VGS_11_1000</v>
      </c>
      <c r="Y60" t="str">
        <f t="shared" si="62"/>
        <v>11</v>
      </c>
      <c r="Z60">
        <f t="shared" si="124"/>
        <v>1000</v>
      </c>
      <c r="AA60">
        <f t="shared" si="63"/>
        <v>30.4</v>
      </c>
      <c r="AB60" s="22">
        <f>Z60-AF60-25</f>
        <v>821</v>
      </c>
      <c r="AC60" s="4">
        <f>Z60-AG60</f>
        <v>900</v>
      </c>
      <c r="AD60" s="4">
        <f t="shared" si="88"/>
        <v>42.336915777162432</v>
      </c>
      <c r="AE60" s="25">
        <f t="shared" si="89"/>
        <v>45.986317534991151</v>
      </c>
      <c r="AF60" s="39">
        <f t="shared" si="125"/>
        <v>154</v>
      </c>
      <c r="AG60" s="15">
        <f t="shared" si="90"/>
        <v>100</v>
      </c>
      <c r="AH60" s="42">
        <f t="shared" si="91"/>
        <v>12.5</v>
      </c>
      <c r="AI60" s="4">
        <f t="shared" si="92"/>
        <v>37.69649384919952</v>
      </c>
      <c r="AJ60" s="25">
        <f t="shared" si="93"/>
        <v>24.478242759220471</v>
      </c>
      <c r="AK60" s="4"/>
      <c r="AL60" s="4">
        <f t="shared" si="27"/>
        <v>30.4</v>
      </c>
      <c r="AM60" t="str">
        <f t="shared" si="28"/>
        <v>ACCIAIO</v>
      </c>
      <c r="AN60" s="4">
        <f t="shared" si="29"/>
        <v>24.478242759220471</v>
      </c>
      <c r="AO60" t="str">
        <f t="shared" si="30"/>
        <v>CALCESTRUZZO</v>
      </c>
      <c r="AR60" s="4">
        <f t="shared" si="94"/>
        <v>38</v>
      </c>
      <c r="AS60" t="str">
        <f t="shared" si="95"/>
        <v>ACCIAIO</v>
      </c>
      <c r="AT60" s="4">
        <f t="shared" si="96"/>
        <v>38</v>
      </c>
      <c r="AU60" t="str">
        <f t="shared" si="97"/>
        <v>ACCIAIO</v>
      </c>
      <c r="AX60" s="4">
        <f t="shared" si="98"/>
        <v>38</v>
      </c>
      <c r="AY60" t="str">
        <f t="shared" si="99"/>
        <v>ACCIAIO</v>
      </c>
      <c r="AZ60" s="4">
        <f t="shared" si="100"/>
        <v>38</v>
      </c>
      <c r="BA60" t="str">
        <f t="shared" si="101"/>
        <v>ACCIAIO</v>
      </c>
    </row>
    <row r="61" spans="2:53" ht="15" customHeight="1">
      <c r="AB61" s="22"/>
      <c r="AC61" s="4"/>
      <c r="AD61" s="4"/>
      <c r="AE61" s="25"/>
      <c r="AF61" s="39"/>
      <c r="AG61" s="15"/>
      <c r="AH61" s="42"/>
      <c r="AI61" s="4"/>
      <c r="AJ61" s="25"/>
      <c r="AK61" s="4"/>
      <c r="AL61" s="4"/>
      <c r="AN61" s="4"/>
      <c r="AR61" s="4"/>
      <c r="AT61" s="4"/>
      <c r="AX61" s="4"/>
      <c r="AZ61" s="4"/>
    </row>
    <row r="62" spans="2:53" ht="15" customHeight="1">
      <c r="W62" t="str">
        <f t="shared" ref="W62:W81" si="147">$E$13</f>
        <v>VGS_13</v>
      </c>
      <c r="X62" t="str">
        <f t="shared" si="16"/>
        <v>VGS_13_300</v>
      </c>
      <c r="Y62" t="str">
        <f t="shared" si="62"/>
        <v>13</v>
      </c>
      <c r="Z62">
        <v>300</v>
      </c>
      <c r="AA62">
        <f t="shared" ref="AA62:AA81" si="148">$G$13/$AE$14</f>
        <v>42.4</v>
      </c>
      <c r="AB62" s="22">
        <f t="shared" ref="AB62:AB72" si="149">Z62-AF62-25</f>
        <v>93</v>
      </c>
      <c r="AC62" s="4">
        <f t="shared" ref="AC62:AC72" si="150">Z62-AG62</f>
        <v>183</v>
      </c>
      <c r="AD62" s="4">
        <f t="shared" ref="AD62:AD72" si="151">((20*(Y62^0.8)*AB62^0.9)/1000)*$AE$10/$AE$9</f>
        <v>6.8153091816201634</v>
      </c>
      <c r="AE62" s="25">
        <f t="shared" ref="AE62:AE72" si="152">((20*(Y62^0.8)*AC62^0.9)/1000)*$AE$10/$AE$9</f>
        <v>12.533053390927336</v>
      </c>
      <c r="AF62" s="39">
        <f t="shared" ref="AF62:AF72" si="153">MAX(14*Y62,150)</f>
        <v>182</v>
      </c>
      <c r="AG62" s="15">
        <f t="shared" ref="AG62:AG72" si="154">MAX(9*Y62,100)</f>
        <v>117</v>
      </c>
      <c r="AH62" s="42">
        <f t="shared" ref="AH62:AH72" si="155">VLOOKUP(W62,$E$11:$I$14,4,FALSE)</f>
        <v>12.5</v>
      </c>
      <c r="AI62" s="4">
        <f t="shared" ref="AI62:AI72" si="156">((Y62*PI())*AF62)*(AH62*$AE$18/$AE$17)/1000</f>
        <v>52.650474880286943</v>
      </c>
      <c r="AJ62" s="25">
        <f t="shared" ref="AJ62:AJ72" si="157">((Y62*PI())*AG62)*(AH62*$AE$18/$AE$17)/1000</f>
        <v>33.846733851613031</v>
      </c>
      <c r="AK62" s="4"/>
      <c r="AL62" s="4">
        <f t="shared" ref="AL62:AL72" si="158">MIN(AA62,AD62,AI62)</f>
        <v>6.8153091816201634</v>
      </c>
      <c r="AM62" t="str">
        <f t="shared" ref="AM62:AM72" si="159">IF(AL62=AA62,"ACCIAIO",IF(AL62=AD62,"LEGNO",IF(AL62=AI62," CALCESTRUZZO")))</f>
        <v>LEGNO</v>
      </c>
      <c r="AN62" s="4">
        <f t="shared" ref="AN62:AN72" si="160">MIN(AA62,AE62,AJ62)</f>
        <v>12.533053390927336</v>
      </c>
      <c r="AO62" t="str">
        <f t="shared" ref="AO62:AO72" si="161">IF(AN62=AA62,"ACCIAIO",IF(AN62=AE62,"LEGNO",IF(AN62=AJ62,"CALCESTRUZZO")))</f>
        <v>LEGNO</v>
      </c>
      <c r="AR62" s="4">
        <f t="shared" ref="AR62:AR72" si="162">MIN(AA62*$AE$14,AD62*$AE$9/$AE$10,AI62*$AE$17/$AE$18)</f>
        <v>9.2006673951872209</v>
      </c>
      <c r="AS62" t="str">
        <f t="shared" ref="AS62:AS72" si="163">IF(AR62=AA62*$AE$14,"ACCIAIO",IF(AR62=AD62*$AE$9/$AE$10,"LEGNO",IF(AR62=AI62*$AE$17/$AE$18," CALCESTRUZZO")))</f>
        <v>LEGNO</v>
      </c>
      <c r="AT62" s="4">
        <f t="shared" ref="AT62:AT72" si="164">MIN(AA62*$AE$14,AE62*$AE$9/$AE$10,AJ62*$AE$17/$AE$18)</f>
        <v>16.919622077751903</v>
      </c>
      <c r="AU62" t="str">
        <f t="shared" ref="AU62:AU72" si="165">IF(AT62=AA62*$AE$14,"ACCIAIO",IF(AT62=AE62*$AE$9/$AE$10,"LEGNO",IF(AT62=AJ62*$AE$17/$AE$18," CALCESTRUZZO")))</f>
        <v>LEGNO</v>
      </c>
      <c r="AX62" s="4">
        <f t="shared" ref="AX62:AX72" si="166">MIN(AA62*$AE$14,$AZ$18*AD62*$AE$9/$AE$10,AI62*$AE$17/$AE$18)</f>
        <v>13.801001092780831</v>
      </c>
      <c r="AY62" t="str">
        <f t="shared" ref="AY62:AY72" si="167">IF(AX62=AA62*$AE$14,"ACCIAIO",IF(AX62=$AZ$18*AD62*$AE$9/$AE$10,"LEGNO",IF(AX62=AI62*$AE$17/$AE$18," CALCESTRUZZO")))</f>
        <v>LEGNO</v>
      </c>
      <c r="AZ62" s="4">
        <f t="shared" ref="AZ62:AZ72" si="168">MIN(AA62*$AE$14,$AZ$18*AE62*$AE$9/$AE$10,AJ62*$AE$17/$AE$18)</f>
        <v>25.379433116627855</v>
      </c>
      <c r="BA62" t="str">
        <f t="shared" ref="BA62:BA72" si="169">IF(AZ62=AA62*$AE$14,"ACCIAIO",IF(AZ62=$AZ$18*AE62*$AE$9/$AE$10,"LEGNO",IF(AZ62=AJ62*$AE$17/$AE$18," CALCESTRUZZO")))</f>
        <v>LEGNO</v>
      </c>
    </row>
    <row r="63" spans="2:53" ht="15" customHeight="1">
      <c r="W63" t="str">
        <f t="shared" si="147"/>
        <v>VGS_13</v>
      </c>
      <c r="X63" t="str">
        <f t="shared" si="16"/>
        <v>VGS_13_350</v>
      </c>
      <c r="Y63" t="str">
        <f t="shared" si="62"/>
        <v>13</v>
      </c>
      <c r="Z63">
        <f t="shared" ref="Z63:Z76" si="170">Z62+50</f>
        <v>350</v>
      </c>
      <c r="AA63">
        <f t="shared" si="148"/>
        <v>42.4</v>
      </c>
      <c r="AB63" s="22">
        <f t="shared" si="149"/>
        <v>143</v>
      </c>
      <c r="AC63" s="4">
        <f t="shared" si="150"/>
        <v>233</v>
      </c>
      <c r="AD63" s="4">
        <f t="shared" si="151"/>
        <v>10.03814218016162</v>
      </c>
      <c r="AE63" s="25">
        <f t="shared" si="152"/>
        <v>15.576548724575362</v>
      </c>
      <c r="AF63" s="39">
        <f t="shared" si="153"/>
        <v>182</v>
      </c>
      <c r="AG63" s="15">
        <f t="shared" si="154"/>
        <v>117</v>
      </c>
      <c r="AH63" s="42">
        <f t="shared" si="155"/>
        <v>12.5</v>
      </c>
      <c r="AI63" s="4">
        <f t="shared" si="156"/>
        <v>52.650474880286943</v>
      </c>
      <c r="AJ63" s="25">
        <f t="shared" si="157"/>
        <v>33.846733851613031</v>
      </c>
      <c r="AK63" s="4"/>
      <c r="AL63" s="4">
        <f t="shared" si="158"/>
        <v>10.03814218016162</v>
      </c>
      <c r="AM63" t="str">
        <f t="shared" si="159"/>
        <v>LEGNO</v>
      </c>
      <c r="AN63" s="4">
        <f t="shared" si="160"/>
        <v>15.576548724575362</v>
      </c>
      <c r="AO63" t="str">
        <f t="shared" si="161"/>
        <v>LEGNO</v>
      </c>
      <c r="AR63" s="4">
        <f t="shared" si="162"/>
        <v>13.551491943218187</v>
      </c>
      <c r="AS63" t="str">
        <f t="shared" si="163"/>
        <v>LEGNO</v>
      </c>
      <c r="AT63" s="4">
        <f t="shared" si="164"/>
        <v>21.028340778176741</v>
      </c>
      <c r="AU63" t="str">
        <f t="shared" si="165"/>
        <v>LEGNO</v>
      </c>
      <c r="AX63" s="4">
        <f t="shared" si="166"/>
        <v>20.327237914827279</v>
      </c>
      <c r="AY63" t="str">
        <f t="shared" si="167"/>
        <v>LEGNO</v>
      </c>
      <c r="AZ63" s="4">
        <f t="shared" si="168"/>
        <v>31.542511167265111</v>
      </c>
      <c r="BA63" t="str">
        <f t="shared" si="169"/>
        <v>LEGNO</v>
      </c>
    </row>
    <row r="64" spans="2:53" ht="15" hidden="1" customHeight="1">
      <c r="W64" t="str">
        <f t="shared" si="147"/>
        <v>VGS_13</v>
      </c>
      <c r="X64" t="str">
        <f t="shared" si="16"/>
        <v>VGS_13_400</v>
      </c>
      <c r="Y64" t="str">
        <f t="shared" si="62"/>
        <v>13</v>
      </c>
      <c r="Z64">
        <f t="shared" si="170"/>
        <v>400</v>
      </c>
      <c r="AA64">
        <f t="shared" si="148"/>
        <v>42.4</v>
      </c>
      <c r="AB64" s="22">
        <f t="shared" si="149"/>
        <v>193</v>
      </c>
      <c r="AC64" s="4">
        <f t="shared" si="150"/>
        <v>283</v>
      </c>
      <c r="AD64" s="4">
        <f t="shared" si="151"/>
        <v>13.147781775293094</v>
      </c>
      <c r="AE64" s="25">
        <f t="shared" si="152"/>
        <v>18.554903541287185</v>
      </c>
      <c r="AF64" s="39">
        <f t="shared" si="153"/>
        <v>182</v>
      </c>
      <c r="AG64" s="15">
        <f t="shared" si="154"/>
        <v>117</v>
      </c>
      <c r="AH64" s="42">
        <f t="shared" si="155"/>
        <v>12.5</v>
      </c>
      <c r="AI64" s="4">
        <f t="shared" si="156"/>
        <v>52.650474880286943</v>
      </c>
      <c r="AJ64" s="25">
        <f t="shared" si="157"/>
        <v>33.846733851613031</v>
      </c>
      <c r="AK64" s="4"/>
      <c r="AL64" s="4">
        <f t="shared" si="158"/>
        <v>13.147781775293094</v>
      </c>
      <c r="AM64" t="str">
        <f t="shared" si="159"/>
        <v>LEGNO</v>
      </c>
      <c r="AN64" s="4">
        <f t="shared" si="160"/>
        <v>18.554903541287185</v>
      </c>
      <c r="AO64" t="str">
        <f t="shared" si="161"/>
        <v>LEGNO</v>
      </c>
      <c r="AR64" s="4">
        <f t="shared" si="162"/>
        <v>17.749505396645677</v>
      </c>
      <c r="AS64" t="str">
        <f t="shared" si="163"/>
        <v>LEGNO</v>
      </c>
      <c r="AT64" s="4">
        <f t="shared" si="164"/>
        <v>25.049119780737701</v>
      </c>
      <c r="AU64" t="str">
        <f t="shared" si="165"/>
        <v>LEGNO</v>
      </c>
      <c r="AX64" s="4">
        <f t="shared" si="166"/>
        <v>26.624258094968514</v>
      </c>
      <c r="AY64" t="str">
        <f t="shared" si="167"/>
        <v>LEGNO</v>
      </c>
      <c r="AZ64" s="4">
        <f t="shared" si="168"/>
        <v>37.573679671106547</v>
      </c>
      <c r="BA64" t="str">
        <f t="shared" si="169"/>
        <v>LEGNO</v>
      </c>
    </row>
    <row r="65" spans="23:53" ht="15" hidden="1" customHeight="1">
      <c r="W65" t="str">
        <f t="shared" si="147"/>
        <v>VGS_13</v>
      </c>
      <c r="X65" t="str">
        <f t="shared" si="16"/>
        <v>VGS_13_450</v>
      </c>
      <c r="Y65" t="str">
        <f t="shared" si="62"/>
        <v>13</v>
      </c>
      <c r="Z65">
        <f t="shared" si="170"/>
        <v>450</v>
      </c>
      <c r="AA65">
        <f t="shared" si="148"/>
        <v>42.4</v>
      </c>
      <c r="AB65" s="22">
        <f t="shared" si="149"/>
        <v>243</v>
      </c>
      <c r="AC65" s="4">
        <f t="shared" si="150"/>
        <v>333</v>
      </c>
      <c r="AD65" s="4">
        <f t="shared" si="151"/>
        <v>16.176946725177327</v>
      </c>
      <c r="AE65" s="25">
        <f t="shared" si="152"/>
        <v>21.480813236003915</v>
      </c>
      <c r="AF65" s="39">
        <f t="shared" si="153"/>
        <v>182</v>
      </c>
      <c r="AG65" s="15">
        <f t="shared" si="154"/>
        <v>117</v>
      </c>
      <c r="AH65" s="42">
        <f t="shared" si="155"/>
        <v>12.5</v>
      </c>
      <c r="AI65" s="4">
        <f t="shared" si="156"/>
        <v>52.650474880286943</v>
      </c>
      <c r="AJ65" s="25">
        <f t="shared" si="157"/>
        <v>33.846733851613031</v>
      </c>
      <c r="AK65" s="4"/>
      <c r="AL65" s="4">
        <f t="shared" si="158"/>
        <v>16.176946725177327</v>
      </c>
      <c r="AM65" t="str">
        <f t="shared" si="159"/>
        <v>LEGNO</v>
      </c>
      <c r="AN65" s="4">
        <f t="shared" si="160"/>
        <v>21.480813236003915</v>
      </c>
      <c r="AO65" t="str">
        <f t="shared" si="161"/>
        <v>LEGNO</v>
      </c>
      <c r="AR65" s="4">
        <f t="shared" si="162"/>
        <v>21.838878078989392</v>
      </c>
      <c r="AS65" t="str">
        <f t="shared" si="163"/>
        <v>LEGNO</v>
      </c>
      <c r="AT65" s="4">
        <f t="shared" si="164"/>
        <v>28.999097868605286</v>
      </c>
      <c r="AU65" t="str">
        <f t="shared" si="165"/>
        <v>LEGNO</v>
      </c>
      <c r="AX65" s="4">
        <f t="shared" si="166"/>
        <v>32.758317118484086</v>
      </c>
      <c r="AY65" t="str">
        <f t="shared" si="167"/>
        <v>LEGNO</v>
      </c>
      <c r="AZ65" s="4">
        <f t="shared" si="168"/>
        <v>43.498646802907935</v>
      </c>
      <c r="BA65" t="str">
        <f t="shared" si="169"/>
        <v>LEGNO</v>
      </c>
    </row>
    <row r="66" spans="23:53" ht="15" hidden="1" customHeight="1">
      <c r="W66" t="str">
        <f t="shared" si="147"/>
        <v>VGS_13</v>
      </c>
      <c r="X66" t="str">
        <f t="shared" si="16"/>
        <v>VGS_13_500</v>
      </c>
      <c r="Y66" t="str">
        <f t="shared" si="62"/>
        <v>13</v>
      </c>
      <c r="Z66">
        <f t="shared" si="170"/>
        <v>500</v>
      </c>
      <c r="AA66">
        <f t="shared" si="148"/>
        <v>42.4</v>
      </c>
      <c r="AB66" s="22">
        <f t="shared" si="149"/>
        <v>293</v>
      </c>
      <c r="AC66" s="4">
        <f t="shared" si="150"/>
        <v>383</v>
      </c>
      <c r="AD66" s="4">
        <f t="shared" si="151"/>
        <v>19.143959521969844</v>
      </c>
      <c r="AE66" s="25">
        <f t="shared" si="152"/>
        <v>24.362946167207827</v>
      </c>
      <c r="AF66" s="39">
        <f t="shared" si="153"/>
        <v>182</v>
      </c>
      <c r="AG66" s="15">
        <f t="shared" si="154"/>
        <v>117</v>
      </c>
      <c r="AH66" s="42">
        <f t="shared" si="155"/>
        <v>12.5</v>
      </c>
      <c r="AI66" s="4">
        <f t="shared" si="156"/>
        <v>52.650474880286943</v>
      </c>
      <c r="AJ66" s="25">
        <f t="shared" si="157"/>
        <v>33.846733851613031</v>
      </c>
      <c r="AK66" s="4"/>
      <c r="AL66" s="4">
        <f t="shared" si="158"/>
        <v>19.143959521969844</v>
      </c>
      <c r="AM66" t="str">
        <f t="shared" si="159"/>
        <v>LEGNO</v>
      </c>
      <c r="AN66" s="4">
        <f t="shared" si="160"/>
        <v>24.362946167207827</v>
      </c>
      <c r="AO66" t="str">
        <f t="shared" si="161"/>
        <v>LEGNO</v>
      </c>
      <c r="AR66" s="4">
        <f t="shared" si="162"/>
        <v>25.844345354659293</v>
      </c>
      <c r="AS66" t="str">
        <f t="shared" si="163"/>
        <v>LEGNO</v>
      </c>
      <c r="AT66" s="4">
        <f t="shared" si="164"/>
        <v>32.88997732573057</v>
      </c>
      <c r="AU66" t="str">
        <f t="shared" si="165"/>
        <v>LEGNO</v>
      </c>
      <c r="AX66" s="4">
        <f t="shared" si="166"/>
        <v>38.766518031988937</v>
      </c>
      <c r="AY66" t="str">
        <f t="shared" si="167"/>
        <v>LEGNO</v>
      </c>
      <c r="AZ66" s="4">
        <f t="shared" si="168"/>
        <v>49.334965988595854</v>
      </c>
      <c r="BA66" t="str">
        <f t="shared" si="169"/>
        <v>LEGNO</v>
      </c>
    </row>
    <row r="67" spans="23:53" ht="15" hidden="1" customHeight="1">
      <c r="W67" t="str">
        <f t="shared" si="147"/>
        <v>VGS_13</v>
      </c>
      <c r="X67" t="str">
        <f t="shared" si="16"/>
        <v>VGS_13_550</v>
      </c>
      <c r="Y67" t="str">
        <f t="shared" si="62"/>
        <v>13</v>
      </c>
      <c r="Z67">
        <f t="shared" si="170"/>
        <v>550</v>
      </c>
      <c r="AA67">
        <f t="shared" si="148"/>
        <v>42.4</v>
      </c>
      <c r="AB67" s="22">
        <f t="shared" si="149"/>
        <v>343</v>
      </c>
      <c r="AC67" s="4">
        <f t="shared" si="150"/>
        <v>433</v>
      </c>
      <c r="AD67" s="4">
        <f t="shared" si="151"/>
        <v>22.060513490303201</v>
      </c>
      <c r="AE67" s="25">
        <f t="shared" si="152"/>
        <v>27.207586321505691</v>
      </c>
      <c r="AF67" s="39">
        <f t="shared" si="153"/>
        <v>182</v>
      </c>
      <c r="AG67" s="15">
        <f t="shared" si="154"/>
        <v>117</v>
      </c>
      <c r="AH67" s="42">
        <f t="shared" si="155"/>
        <v>12.5</v>
      </c>
      <c r="AI67" s="4">
        <f t="shared" si="156"/>
        <v>52.650474880286943</v>
      </c>
      <c r="AJ67" s="25">
        <f t="shared" si="157"/>
        <v>33.846733851613031</v>
      </c>
      <c r="AK67" s="4"/>
      <c r="AL67" s="4">
        <f t="shared" si="158"/>
        <v>22.060513490303201</v>
      </c>
      <c r="AM67" t="str">
        <f t="shared" si="159"/>
        <v>LEGNO</v>
      </c>
      <c r="AN67" s="4">
        <f t="shared" si="160"/>
        <v>27.207586321505691</v>
      </c>
      <c r="AO67" t="str">
        <f t="shared" si="161"/>
        <v>LEGNO</v>
      </c>
      <c r="AR67" s="4">
        <f t="shared" si="162"/>
        <v>29.781693211909325</v>
      </c>
      <c r="AS67" t="str">
        <f t="shared" si="163"/>
        <v>LEGNO</v>
      </c>
      <c r="AT67" s="4">
        <f t="shared" si="164"/>
        <v>36.730241534032686</v>
      </c>
      <c r="AU67" t="str">
        <f t="shared" si="165"/>
        <v>LEGNO</v>
      </c>
      <c r="AX67" s="4">
        <f t="shared" si="166"/>
        <v>44.672539817863978</v>
      </c>
      <c r="AY67" t="str">
        <f t="shared" si="167"/>
        <v>LEGNO</v>
      </c>
      <c r="AZ67" s="4">
        <f t="shared" si="168"/>
        <v>53</v>
      </c>
      <c r="BA67" t="str">
        <f t="shared" si="169"/>
        <v>ACCIAIO</v>
      </c>
    </row>
    <row r="68" spans="23:53" ht="15" hidden="1" customHeight="1">
      <c r="W68" t="str">
        <f t="shared" si="147"/>
        <v>VGS_13</v>
      </c>
      <c r="X68" t="str">
        <f t="shared" si="16"/>
        <v>VGS_13_600</v>
      </c>
      <c r="Y68" t="str">
        <f t="shared" si="62"/>
        <v>13</v>
      </c>
      <c r="Z68">
        <f t="shared" si="170"/>
        <v>600</v>
      </c>
      <c r="AA68">
        <f t="shared" si="148"/>
        <v>42.4</v>
      </c>
      <c r="AB68" s="22">
        <f t="shared" si="149"/>
        <v>393</v>
      </c>
      <c r="AC68" s="4">
        <f t="shared" si="150"/>
        <v>483</v>
      </c>
      <c r="AD68" s="4">
        <f t="shared" si="151"/>
        <v>24.934703269655078</v>
      </c>
      <c r="AE68" s="25">
        <f t="shared" si="152"/>
        <v>30.019491170498103</v>
      </c>
      <c r="AF68" s="39">
        <f t="shared" si="153"/>
        <v>182</v>
      </c>
      <c r="AG68" s="15">
        <f t="shared" si="154"/>
        <v>117</v>
      </c>
      <c r="AH68" s="42">
        <f t="shared" si="155"/>
        <v>12.5</v>
      </c>
      <c r="AI68" s="4">
        <f t="shared" si="156"/>
        <v>52.650474880286943</v>
      </c>
      <c r="AJ68" s="25">
        <f t="shared" si="157"/>
        <v>33.846733851613031</v>
      </c>
      <c r="AK68" s="4"/>
      <c r="AL68" s="4">
        <f t="shared" si="158"/>
        <v>24.934703269655078</v>
      </c>
      <c r="AM68" t="str">
        <f t="shared" si="159"/>
        <v>LEGNO</v>
      </c>
      <c r="AN68" s="4">
        <f t="shared" si="160"/>
        <v>30.019491170498103</v>
      </c>
      <c r="AO68" t="str">
        <f t="shared" si="161"/>
        <v>LEGNO</v>
      </c>
      <c r="AR68" s="4">
        <f t="shared" si="162"/>
        <v>33.661849414034357</v>
      </c>
      <c r="AS68" t="str">
        <f t="shared" si="163"/>
        <v>LEGNO</v>
      </c>
      <c r="AT68" s="4">
        <f t="shared" si="164"/>
        <v>40.526313080172443</v>
      </c>
      <c r="AU68" t="str">
        <f t="shared" si="165"/>
        <v>LEGNO</v>
      </c>
      <c r="AX68" s="4">
        <f t="shared" si="166"/>
        <v>50.492774121051539</v>
      </c>
      <c r="AY68" t="str">
        <f t="shared" si="167"/>
        <v>LEGNO</v>
      </c>
      <c r="AZ68" s="4">
        <f t="shared" si="168"/>
        <v>53</v>
      </c>
      <c r="BA68" t="str">
        <f t="shared" si="169"/>
        <v>ACCIAIO</v>
      </c>
    </row>
    <row r="69" spans="23:53" ht="15" hidden="1" customHeight="1">
      <c r="W69" t="str">
        <f t="shared" si="147"/>
        <v>VGS_13</v>
      </c>
      <c r="X69" t="str">
        <f t="shared" si="16"/>
        <v>VGS_13_650</v>
      </c>
      <c r="Y69" t="str">
        <f t="shared" si="62"/>
        <v>13</v>
      </c>
      <c r="Z69">
        <f t="shared" si="170"/>
        <v>650</v>
      </c>
      <c r="AA69">
        <f t="shared" si="148"/>
        <v>42.4</v>
      </c>
      <c r="AB69" s="22">
        <f t="shared" si="149"/>
        <v>443</v>
      </c>
      <c r="AC69" s="4">
        <f t="shared" si="150"/>
        <v>533</v>
      </c>
      <c r="AD69" s="4">
        <f t="shared" si="151"/>
        <v>27.772454415856352</v>
      </c>
      <c r="AE69" s="25">
        <f t="shared" si="152"/>
        <v>32.802383152529231</v>
      </c>
      <c r="AF69" s="39">
        <f t="shared" si="153"/>
        <v>182</v>
      </c>
      <c r="AG69" s="15">
        <f t="shared" si="154"/>
        <v>117</v>
      </c>
      <c r="AH69" s="42">
        <f t="shared" si="155"/>
        <v>12.5</v>
      </c>
      <c r="AI69" s="4">
        <f t="shared" si="156"/>
        <v>52.650474880286943</v>
      </c>
      <c r="AJ69" s="25">
        <f t="shared" si="157"/>
        <v>33.846733851613031</v>
      </c>
      <c r="AK69" s="4"/>
      <c r="AL69" s="4">
        <f t="shared" si="158"/>
        <v>27.772454415856352</v>
      </c>
      <c r="AM69" t="str">
        <f t="shared" si="159"/>
        <v>LEGNO</v>
      </c>
      <c r="AN69" s="4">
        <f t="shared" si="160"/>
        <v>32.802383152529231</v>
      </c>
      <c r="AO69" t="str">
        <f t="shared" si="161"/>
        <v>LEGNO</v>
      </c>
      <c r="AR69" s="4">
        <f t="shared" si="162"/>
        <v>37.49281346140608</v>
      </c>
      <c r="AS69" t="str">
        <f t="shared" si="163"/>
        <v>LEGNO</v>
      </c>
      <c r="AT69" s="4">
        <f t="shared" si="164"/>
        <v>44.283217255914465</v>
      </c>
      <c r="AU69" t="str">
        <f t="shared" si="165"/>
        <v>LEGNO</v>
      </c>
      <c r="AX69" s="4">
        <f t="shared" si="166"/>
        <v>53</v>
      </c>
      <c r="AY69" t="str">
        <f t="shared" si="167"/>
        <v>ACCIAIO</v>
      </c>
      <c r="AZ69" s="4">
        <f t="shared" si="168"/>
        <v>53</v>
      </c>
      <c r="BA69" t="str">
        <f t="shared" si="169"/>
        <v>ACCIAIO</v>
      </c>
    </row>
    <row r="70" spans="23:53" ht="15" hidden="1" customHeight="1">
      <c r="W70" t="str">
        <f t="shared" si="147"/>
        <v>VGS_13</v>
      </c>
      <c r="X70" t="str">
        <f t="shared" si="16"/>
        <v>VGS_13_700</v>
      </c>
      <c r="Y70" t="str">
        <f t="shared" si="62"/>
        <v>13</v>
      </c>
      <c r="Z70">
        <f t="shared" si="170"/>
        <v>700</v>
      </c>
      <c r="AA70">
        <f t="shared" si="148"/>
        <v>42.4</v>
      </c>
      <c r="AB70" s="22">
        <f t="shared" si="149"/>
        <v>493</v>
      </c>
      <c r="AC70" s="4">
        <f t="shared" si="150"/>
        <v>583</v>
      </c>
      <c r="AD70" s="4">
        <f t="shared" si="151"/>
        <v>30.578285862543979</v>
      </c>
      <c r="AE70" s="25">
        <f t="shared" si="152"/>
        <v>35.559251297788762</v>
      </c>
      <c r="AF70" s="39">
        <f t="shared" si="153"/>
        <v>182</v>
      </c>
      <c r="AG70" s="15">
        <f t="shared" si="154"/>
        <v>117</v>
      </c>
      <c r="AH70" s="42">
        <f t="shared" si="155"/>
        <v>12.5</v>
      </c>
      <c r="AI70" s="4">
        <f t="shared" si="156"/>
        <v>52.650474880286943</v>
      </c>
      <c r="AJ70" s="25">
        <f t="shared" si="157"/>
        <v>33.846733851613031</v>
      </c>
      <c r="AK70" s="4"/>
      <c r="AL70" s="4">
        <f t="shared" si="158"/>
        <v>30.578285862543979</v>
      </c>
      <c r="AM70" t="str">
        <f t="shared" si="159"/>
        <v>LEGNO</v>
      </c>
      <c r="AN70" s="4">
        <f t="shared" si="160"/>
        <v>33.846733851613031</v>
      </c>
      <c r="AO70" t="str">
        <f t="shared" si="161"/>
        <v>CALCESTRUZZO</v>
      </c>
      <c r="AR70" s="4">
        <f t="shared" si="162"/>
        <v>41.280685914434372</v>
      </c>
      <c r="AS70" t="str">
        <f t="shared" si="163"/>
        <v>LEGNO</v>
      </c>
      <c r="AT70" s="4">
        <f t="shared" si="164"/>
        <v>48.00498925201483</v>
      </c>
      <c r="AU70" t="str">
        <f t="shared" si="165"/>
        <v>LEGNO</v>
      </c>
      <c r="AX70" s="4">
        <f t="shared" si="166"/>
        <v>53</v>
      </c>
      <c r="AY70" t="str">
        <f t="shared" si="167"/>
        <v>ACCIAIO</v>
      </c>
      <c r="AZ70" s="4">
        <f t="shared" si="168"/>
        <v>53</v>
      </c>
      <c r="BA70" t="str">
        <f t="shared" si="169"/>
        <v>ACCIAIO</v>
      </c>
    </row>
    <row r="71" spans="23:53" ht="15" hidden="1" customHeight="1">
      <c r="W71" t="str">
        <f t="shared" si="147"/>
        <v>VGS_13</v>
      </c>
      <c r="X71" t="str">
        <f t="shared" si="16"/>
        <v>VGS_13_750</v>
      </c>
      <c r="Y71" t="str">
        <f t="shared" si="62"/>
        <v>13</v>
      </c>
      <c r="Z71">
        <f t="shared" si="170"/>
        <v>750</v>
      </c>
      <c r="AA71">
        <f t="shared" si="148"/>
        <v>42.4</v>
      </c>
      <c r="AB71" s="22">
        <f t="shared" si="149"/>
        <v>543</v>
      </c>
      <c r="AC71" s="4">
        <f t="shared" si="150"/>
        <v>633</v>
      </c>
      <c r="AD71" s="4">
        <f t="shared" si="151"/>
        <v>33.355753493618074</v>
      </c>
      <c r="AE71" s="25">
        <f t="shared" si="152"/>
        <v>38.29254646659578</v>
      </c>
      <c r="AF71" s="39">
        <f t="shared" si="153"/>
        <v>182</v>
      </c>
      <c r="AG71" s="15">
        <f t="shared" si="154"/>
        <v>117</v>
      </c>
      <c r="AH71" s="42">
        <f t="shared" si="155"/>
        <v>12.5</v>
      </c>
      <c r="AI71" s="4">
        <f t="shared" si="156"/>
        <v>52.650474880286943</v>
      </c>
      <c r="AJ71" s="25">
        <f t="shared" si="157"/>
        <v>33.846733851613031</v>
      </c>
      <c r="AK71" s="4"/>
      <c r="AL71" s="4">
        <f t="shared" si="158"/>
        <v>33.355753493618074</v>
      </c>
      <c r="AM71" t="str">
        <f t="shared" si="159"/>
        <v>LEGNO</v>
      </c>
      <c r="AN71" s="4">
        <f t="shared" si="160"/>
        <v>33.846733851613031</v>
      </c>
      <c r="AO71" t="str">
        <f t="shared" si="161"/>
        <v>CALCESTRUZZO</v>
      </c>
      <c r="AR71" s="4">
        <f t="shared" si="162"/>
        <v>45.030267216384402</v>
      </c>
      <c r="AS71" t="str">
        <f t="shared" si="163"/>
        <v>LEGNO</v>
      </c>
      <c r="AT71" s="4">
        <f t="shared" si="164"/>
        <v>51.694937729904304</v>
      </c>
      <c r="AU71" t="str">
        <f t="shared" si="165"/>
        <v>LEGNO</v>
      </c>
      <c r="AX71" s="4">
        <f t="shared" si="166"/>
        <v>53</v>
      </c>
      <c r="AY71" t="str">
        <f t="shared" si="167"/>
        <v>ACCIAIO</v>
      </c>
      <c r="AZ71" s="4">
        <f t="shared" si="168"/>
        <v>53</v>
      </c>
      <c r="BA71" t="str">
        <f t="shared" si="169"/>
        <v>ACCIAIO</v>
      </c>
    </row>
    <row r="72" spans="23:53" ht="15" hidden="1" customHeight="1">
      <c r="W72" t="str">
        <f t="shared" si="147"/>
        <v>VGS_13</v>
      </c>
      <c r="X72" t="str">
        <f t="shared" si="16"/>
        <v>VGS_13_800</v>
      </c>
      <c r="Y72" t="str">
        <f t="shared" si="62"/>
        <v>13</v>
      </c>
      <c r="Z72">
        <f t="shared" si="170"/>
        <v>800</v>
      </c>
      <c r="AA72">
        <f t="shared" si="148"/>
        <v>42.4</v>
      </c>
      <c r="AB72" s="22">
        <f t="shared" si="149"/>
        <v>593</v>
      </c>
      <c r="AC72" s="4">
        <f t="shared" si="150"/>
        <v>683</v>
      </c>
      <c r="AD72" s="4">
        <f t="shared" si="151"/>
        <v>36.107725571316621</v>
      </c>
      <c r="AE72" s="25">
        <f t="shared" si="152"/>
        <v>41.004313221866788</v>
      </c>
      <c r="AF72" s="39">
        <f t="shared" si="153"/>
        <v>182</v>
      </c>
      <c r="AG72" s="15">
        <f t="shared" si="154"/>
        <v>117</v>
      </c>
      <c r="AH72" s="42">
        <f t="shared" si="155"/>
        <v>12.5</v>
      </c>
      <c r="AI72" s="4">
        <f t="shared" si="156"/>
        <v>52.650474880286943</v>
      </c>
      <c r="AJ72" s="25">
        <f t="shared" si="157"/>
        <v>33.846733851613031</v>
      </c>
      <c r="AK72" s="4"/>
      <c r="AL72" s="4">
        <f t="shared" si="158"/>
        <v>36.107725571316621</v>
      </c>
      <c r="AM72" t="str">
        <f t="shared" si="159"/>
        <v>LEGNO</v>
      </c>
      <c r="AN72" s="4">
        <f t="shared" si="160"/>
        <v>33.846733851613031</v>
      </c>
      <c r="AO72" t="str">
        <f t="shared" si="161"/>
        <v>CALCESTRUZZO</v>
      </c>
      <c r="AR72" s="4">
        <f t="shared" si="162"/>
        <v>48.745429521277444</v>
      </c>
      <c r="AS72" t="str">
        <f t="shared" si="163"/>
        <v>LEGNO</v>
      </c>
      <c r="AT72" s="4">
        <f t="shared" si="164"/>
        <v>53</v>
      </c>
      <c r="AU72" t="str">
        <f t="shared" si="165"/>
        <v>ACCIAIO</v>
      </c>
      <c r="AX72" s="4">
        <f t="shared" si="166"/>
        <v>53</v>
      </c>
      <c r="AY72" t="str">
        <f t="shared" si="167"/>
        <v>ACCIAIO</v>
      </c>
      <c r="AZ72" s="4">
        <f t="shared" si="168"/>
        <v>53</v>
      </c>
      <c r="BA72" t="str">
        <f t="shared" si="169"/>
        <v>ACCIAIO</v>
      </c>
    </row>
    <row r="73" spans="23:53" ht="15" hidden="1" customHeight="1">
      <c r="W73" t="str">
        <f t="shared" si="147"/>
        <v>VGS_13</v>
      </c>
      <c r="X73" t="str">
        <f t="shared" ref="X73:X81" si="171">_xlfn.CONCAT(W73,"_",Z73)</f>
        <v>VGS_13_850</v>
      </c>
      <c r="Y73" t="str">
        <f t="shared" si="62"/>
        <v>13</v>
      </c>
      <c r="Z73">
        <f t="shared" si="170"/>
        <v>850</v>
      </c>
      <c r="AA73">
        <f t="shared" si="148"/>
        <v>42.4</v>
      </c>
      <c r="AB73" s="22">
        <f t="shared" ref="AB73:AB81" si="172">Z73-AF73-25</f>
        <v>643</v>
      </c>
      <c r="AC73" s="4">
        <f t="shared" si="87"/>
        <v>733</v>
      </c>
      <c r="AD73" s="4">
        <f t="shared" ref="AD73:AD81" si="173">((20*(Y73^0.8)*AB73^0.9)/1000)*$AE$10/$AE$9</f>
        <v>38.836562675450516</v>
      </c>
      <c r="AE73" s="25">
        <f t="shared" ref="AE73:AE81" si="174">((20*(Y73^0.8)*AC73^0.9)/1000)*$AE$10/$AE$9</f>
        <v>43.696282061097719</v>
      </c>
      <c r="AF73" s="39">
        <f t="shared" ref="AF73:AF81" si="175">MAX(14*Y73,150)</f>
        <v>182</v>
      </c>
      <c r="AG73" s="15">
        <f t="shared" ref="AG73:AG81" si="176">MAX(9*Y73,100)</f>
        <v>117</v>
      </c>
      <c r="AH73" s="42">
        <f t="shared" ref="AH73:AH81" si="177">VLOOKUP(W73,$E$11:$I$14,4,FALSE)</f>
        <v>12.5</v>
      </c>
      <c r="AI73" s="4">
        <f t="shared" ref="AI73:AI81" si="178">((Y73*PI())*AF73)*(AH73*$AE$18/$AE$17)/1000</f>
        <v>52.650474880286943</v>
      </c>
      <c r="AJ73" s="25">
        <f t="shared" ref="AJ73:AJ81" si="179">((Y73*PI())*AG73)*(AH73*$AE$18/$AE$17)/1000</f>
        <v>33.846733851613031</v>
      </c>
      <c r="AK73" s="4"/>
      <c r="AL73" s="4">
        <f t="shared" si="27"/>
        <v>38.836562675450516</v>
      </c>
      <c r="AM73" t="str">
        <f t="shared" si="28"/>
        <v>LEGNO</v>
      </c>
      <c r="AN73" s="4">
        <f t="shared" si="29"/>
        <v>33.846733851613031</v>
      </c>
      <c r="AO73" t="str">
        <f t="shared" si="30"/>
        <v>CALCESTRUZZO</v>
      </c>
      <c r="AR73" s="4">
        <f t="shared" ref="AR73:AR81" si="180">MIN(AA73*$AE$14,AD73*$AE$9/$AE$10,AI73*$AE$17/$AE$18)</f>
        <v>52.429359611858203</v>
      </c>
      <c r="AS73" t="str">
        <f t="shared" ref="AS73:AS81" si="181">IF(AR73=AA73*$AE$14,"ACCIAIO",IF(AR73=AD73*$AE$9/$AE$10,"LEGNO",IF(AR73=AI73*$AE$17/$AE$18," CALCESTRUZZO")))</f>
        <v>LEGNO</v>
      </c>
      <c r="AT73" s="4">
        <f t="shared" ref="AT73:AT81" si="182">MIN(AA73*$AE$14,AE73*$AE$9/$AE$10,AJ73*$AE$17/$AE$18)</f>
        <v>53</v>
      </c>
      <c r="AU73" t="str">
        <f t="shared" ref="AU73:AU81" si="183">IF(AT73=AA73*$AE$14,"ACCIAIO",IF(AT73=AE73*$AE$9/$AE$10,"LEGNO",IF(AT73=AJ73*$AE$17/$AE$18," CALCESTRUZZO")))</f>
        <v>ACCIAIO</v>
      </c>
      <c r="AX73" s="4">
        <f t="shared" ref="AX73:AX81" si="184">MIN(AA73*$AE$14,$AZ$18*AD73*$AE$9/$AE$10,AI73*$AE$17/$AE$18)</f>
        <v>53</v>
      </c>
      <c r="AY73" t="str">
        <f t="shared" ref="AY73:AY81" si="185">IF(AX73=AA73*$AE$14,"ACCIAIO",IF(AX73=$AZ$18*AD73*$AE$9/$AE$10,"LEGNO",IF(AX73=AI73*$AE$17/$AE$18," CALCESTRUZZO")))</f>
        <v>ACCIAIO</v>
      </c>
      <c r="AZ73" s="4">
        <f t="shared" ref="AZ73:AZ81" si="186">MIN(AA73*$AE$14,$AZ$18*AE73*$AE$9/$AE$10,AJ73*$AE$17/$AE$18)</f>
        <v>53</v>
      </c>
      <c r="BA73" t="str">
        <f t="shared" ref="BA73:BA81" si="187">IF(AZ73=AA73*$AE$14,"ACCIAIO",IF(AZ73=$AZ$18*AE73*$AE$9/$AE$10,"LEGNO",IF(AZ73=AJ73*$AE$17/$AE$18," CALCESTRUZZO")))</f>
        <v>ACCIAIO</v>
      </c>
    </row>
    <row r="74" spans="23:53" ht="15" hidden="1" customHeight="1">
      <c r="W74" t="str">
        <f t="shared" si="147"/>
        <v>VGS_13</v>
      </c>
      <c r="X74" t="str">
        <f t="shared" si="171"/>
        <v>VGS_13_900</v>
      </c>
      <c r="Y74" t="str">
        <f t="shared" si="62"/>
        <v>13</v>
      </c>
      <c r="Z74">
        <f t="shared" si="170"/>
        <v>900</v>
      </c>
      <c r="AA74">
        <f t="shared" si="148"/>
        <v>42.4</v>
      </c>
      <c r="AB74" s="22">
        <f t="shared" si="172"/>
        <v>693</v>
      </c>
      <c r="AC74" s="4">
        <f t="shared" si="87"/>
        <v>783</v>
      </c>
      <c r="AD74" s="4">
        <f t="shared" si="173"/>
        <v>41.544240159065303</v>
      </c>
      <c r="AE74" s="25">
        <f t="shared" si="174"/>
        <v>46.369935827632183</v>
      </c>
      <c r="AF74" s="39">
        <f t="shared" si="175"/>
        <v>182</v>
      </c>
      <c r="AG74" s="15">
        <f t="shared" si="176"/>
        <v>117</v>
      </c>
      <c r="AH74" s="42">
        <f t="shared" si="177"/>
        <v>12.5</v>
      </c>
      <c r="AI74" s="4">
        <f t="shared" si="178"/>
        <v>52.650474880286943</v>
      </c>
      <c r="AJ74" s="25">
        <f t="shared" si="179"/>
        <v>33.846733851613031</v>
      </c>
      <c r="AK74" s="4"/>
      <c r="AL74" s="4">
        <f t="shared" si="27"/>
        <v>41.544240159065303</v>
      </c>
      <c r="AM74" t="str">
        <f t="shared" si="28"/>
        <v>LEGNO</v>
      </c>
      <c r="AN74" s="4">
        <f t="shared" si="29"/>
        <v>33.846733851613031</v>
      </c>
      <c r="AO74" t="str">
        <f t="shared" si="30"/>
        <v>CALCESTRUZZO</v>
      </c>
      <c r="AR74" s="4">
        <f t="shared" si="180"/>
        <v>53</v>
      </c>
      <c r="AS74" t="str">
        <f t="shared" si="181"/>
        <v>ACCIAIO</v>
      </c>
      <c r="AT74" s="4">
        <f t="shared" si="182"/>
        <v>53</v>
      </c>
      <c r="AU74" t="str">
        <f t="shared" si="183"/>
        <v>ACCIAIO</v>
      </c>
      <c r="AX74" s="4">
        <f t="shared" si="184"/>
        <v>53</v>
      </c>
      <c r="AY74" t="str">
        <f t="shared" si="185"/>
        <v>ACCIAIO</v>
      </c>
      <c r="AZ74" s="4">
        <f t="shared" si="186"/>
        <v>53</v>
      </c>
      <c r="BA74" t="str">
        <f t="shared" si="187"/>
        <v>ACCIAIO</v>
      </c>
    </row>
    <row r="75" spans="23:53" ht="15" hidden="1" customHeight="1">
      <c r="W75" t="str">
        <f t="shared" si="147"/>
        <v>VGS_13</v>
      </c>
      <c r="X75" t="str">
        <f t="shared" si="171"/>
        <v>VGS_13_950</v>
      </c>
      <c r="Y75" t="str">
        <f t="shared" si="62"/>
        <v>13</v>
      </c>
      <c r="Z75">
        <f t="shared" si="170"/>
        <v>950</v>
      </c>
      <c r="AA75">
        <f t="shared" si="148"/>
        <v>42.4</v>
      </c>
      <c r="AB75" s="22">
        <f t="shared" si="172"/>
        <v>743</v>
      </c>
      <c r="AC75" s="4">
        <f t="shared" si="87"/>
        <v>833</v>
      </c>
      <c r="AD75" s="4">
        <f t="shared" si="173"/>
        <v>44.232434329458506</v>
      </c>
      <c r="AE75" s="25">
        <f t="shared" si="174"/>
        <v>49.026558723594036</v>
      </c>
      <c r="AF75" s="39">
        <f t="shared" si="175"/>
        <v>182</v>
      </c>
      <c r="AG75" s="15">
        <f t="shared" si="176"/>
        <v>117</v>
      </c>
      <c r="AH75" s="42">
        <f t="shared" si="177"/>
        <v>12.5</v>
      </c>
      <c r="AI75" s="4">
        <f t="shared" si="178"/>
        <v>52.650474880286943</v>
      </c>
      <c r="AJ75" s="25">
        <f t="shared" si="179"/>
        <v>33.846733851613031</v>
      </c>
      <c r="AK75" s="4"/>
      <c r="AL75" s="4">
        <f t="shared" si="27"/>
        <v>42.4</v>
      </c>
      <c r="AM75" t="str">
        <f t="shared" si="28"/>
        <v>ACCIAIO</v>
      </c>
      <c r="AN75" s="4">
        <f t="shared" si="29"/>
        <v>33.846733851613031</v>
      </c>
      <c r="AO75" t="str">
        <f t="shared" si="30"/>
        <v>CALCESTRUZZO</v>
      </c>
      <c r="AR75" s="4">
        <f t="shared" si="180"/>
        <v>53</v>
      </c>
      <c r="AS75" t="str">
        <f t="shared" si="181"/>
        <v>ACCIAIO</v>
      </c>
      <c r="AT75" s="4">
        <f t="shared" si="182"/>
        <v>53</v>
      </c>
      <c r="AU75" t="str">
        <f t="shared" si="183"/>
        <v>ACCIAIO</v>
      </c>
      <c r="AX75" s="4">
        <f t="shared" si="184"/>
        <v>53</v>
      </c>
      <c r="AY75" t="str">
        <f t="shared" si="185"/>
        <v>ACCIAIO</v>
      </c>
      <c r="AZ75" s="4">
        <f t="shared" si="186"/>
        <v>53</v>
      </c>
      <c r="BA75" t="str">
        <f t="shared" si="187"/>
        <v>ACCIAIO</v>
      </c>
    </row>
    <row r="76" spans="23:53" ht="15" hidden="1" customHeight="1">
      <c r="W76" t="str">
        <f t="shared" si="147"/>
        <v>VGS_13</v>
      </c>
      <c r="X76" t="str">
        <f t="shared" si="171"/>
        <v>VGS_13_1000</v>
      </c>
      <c r="Y76" t="str">
        <f t="shared" si="62"/>
        <v>13</v>
      </c>
      <c r="Z76">
        <f t="shared" si="170"/>
        <v>1000</v>
      </c>
      <c r="AA76">
        <f t="shared" si="148"/>
        <v>42.4</v>
      </c>
      <c r="AB76" s="22">
        <f t="shared" si="172"/>
        <v>793</v>
      </c>
      <c r="AC76" s="4">
        <f t="shared" si="87"/>
        <v>883</v>
      </c>
      <c r="AD76" s="4">
        <f t="shared" si="173"/>
        <v>46.902584829180157</v>
      </c>
      <c r="AE76" s="25">
        <f t="shared" si="174"/>
        <v>51.667273256691367</v>
      </c>
      <c r="AF76" s="39">
        <f t="shared" si="175"/>
        <v>182</v>
      </c>
      <c r="AG76" s="15">
        <f t="shared" si="176"/>
        <v>117</v>
      </c>
      <c r="AH76" s="42">
        <f t="shared" si="177"/>
        <v>12.5</v>
      </c>
      <c r="AI76" s="4">
        <f t="shared" si="178"/>
        <v>52.650474880286943</v>
      </c>
      <c r="AJ76" s="25">
        <f t="shared" si="179"/>
        <v>33.846733851613031</v>
      </c>
      <c r="AK76" s="4"/>
      <c r="AL76" s="4">
        <f t="shared" si="27"/>
        <v>42.4</v>
      </c>
      <c r="AM76" t="str">
        <f t="shared" si="28"/>
        <v>ACCIAIO</v>
      </c>
      <c r="AN76" s="4">
        <f t="shared" si="29"/>
        <v>33.846733851613031</v>
      </c>
      <c r="AO76" t="str">
        <f t="shared" si="30"/>
        <v>CALCESTRUZZO</v>
      </c>
      <c r="AR76" s="4">
        <f t="shared" si="180"/>
        <v>53</v>
      </c>
      <c r="AS76" t="str">
        <f t="shared" si="181"/>
        <v>ACCIAIO</v>
      </c>
      <c r="AT76" s="4">
        <f t="shared" si="182"/>
        <v>53</v>
      </c>
      <c r="AU76" t="str">
        <f t="shared" si="183"/>
        <v>ACCIAIO</v>
      </c>
      <c r="AX76" s="4">
        <f t="shared" si="184"/>
        <v>53</v>
      </c>
      <c r="AY76" t="str">
        <f t="shared" si="185"/>
        <v>ACCIAIO</v>
      </c>
      <c r="AZ76" s="4">
        <f t="shared" si="186"/>
        <v>53</v>
      </c>
      <c r="BA76" t="str">
        <f t="shared" si="187"/>
        <v>ACCIAIO</v>
      </c>
    </row>
    <row r="77" spans="23:53" ht="15" hidden="1" customHeight="1">
      <c r="W77" t="str">
        <f t="shared" si="147"/>
        <v>VGS_13</v>
      </c>
      <c r="X77" t="str">
        <f t="shared" si="171"/>
        <v>VGS_13_1100</v>
      </c>
      <c r="Y77" t="str">
        <f t="shared" si="62"/>
        <v>13</v>
      </c>
      <c r="Z77">
        <f t="shared" ref="Z77:Z79" si="188">Z76+100</f>
        <v>1100</v>
      </c>
      <c r="AA77">
        <f t="shared" si="148"/>
        <v>42.4</v>
      </c>
      <c r="AB77" s="22">
        <f t="shared" si="172"/>
        <v>893</v>
      </c>
      <c r="AC77" s="4">
        <f t="shared" si="87"/>
        <v>983</v>
      </c>
      <c r="AD77" s="4">
        <f t="shared" si="173"/>
        <v>52.193596287554854</v>
      </c>
      <c r="AE77" s="25">
        <f t="shared" si="174"/>
        <v>56.904822769046994</v>
      </c>
      <c r="AF77" s="39">
        <f t="shared" si="175"/>
        <v>182</v>
      </c>
      <c r="AG77" s="15">
        <f t="shared" si="176"/>
        <v>117</v>
      </c>
      <c r="AH77" s="42">
        <f t="shared" si="177"/>
        <v>12.5</v>
      </c>
      <c r="AI77" s="4">
        <f t="shared" si="178"/>
        <v>52.650474880286943</v>
      </c>
      <c r="AJ77" s="25">
        <f t="shared" si="179"/>
        <v>33.846733851613031</v>
      </c>
      <c r="AK77" s="4"/>
      <c r="AL77" s="4">
        <f t="shared" si="27"/>
        <v>42.4</v>
      </c>
      <c r="AM77" t="str">
        <f t="shared" si="28"/>
        <v>ACCIAIO</v>
      </c>
      <c r="AN77" s="4">
        <f t="shared" si="29"/>
        <v>33.846733851613031</v>
      </c>
      <c r="AO77" t="str">
        <f t="shared" si="30"/>
        <v>CALCESTRUZZO</v>
      </c>
      <c r="AR77" s="4">
        <f t="shared" si="180"/>
        <v>53</v>
      </c>
      <c r="AS77" t="str">
        <f t="shared" si="181"/>
        <v>ACCIAIO</v>
      </c>
      <c r="AT77" s="4">
        <f t="shared" si="182"/>
        <v>53</v>
      </c>
      <c r="AU77" t="str">
        <f t="shared" si="183"/>
        <v>ACCIAIO</v>
      </c>
      <c r="AX77" s="4">
        <f t="shared" si="184"/>
        <v>53</v>
      </c>
      <c r="AY77" t="str">
        <f t="shared" si="185"/>
        <v>ACCIAIO</v>
      </c>
      <c r="AZ77" s="4">
        <f t="shared" si="186"/>
        <v>53</v>
      </c>
      <c r="BA77" t="str">
        <f t="shared" si="187"/>
        <v>ACCIAIO</v>
      </c>
    </row>
    <row r="78" spans="23:53" ht="15" hidden="1" customHeight="1">
      <c r="W78" t="str">
        <f t="shared" si="147"/>
        <v>VGS_13</v>
      </c>
      <c r="X78" t="str">
        <f t="shared" si="171"/>
        <v>VGS_13_1200</v>
      </c>
      <c r="Y78" t="str">
        <f t="shared" si="62"/>
        <v>13</v>
      </c>
      <c r="Z78">
        <f t="shared" si="188"/>
        <v>1200</v>
      </c>
      <c r="AA78">
        <f t="shared" si="148"/>
        <v>42.4</v>
      </c>
      <c r="AB78" s="22">
        <f t="shared" si="172"/>
        <v>993</v>
      </c>
      <c r="AC78" s="4">
        <f t="shared" si="87"/>
        <v>1083</v>
      </c>
      <c r="AD78" s="4">
        <f t="shared" si="173"/>
        <v>57.42555915891932</v>
      </c>
      <c r="AE78" s="25">
        <f t="shared" si="174"/>
        <v>62.089265170119475</v>
      </c>
      <c r="AF78" s="39">
        <f t="shared" si="175"/>
        <v>182</v>
      </c>
      <c r="AG78" s="15">
        <f t="shared" si="176"/>
        <v>117</v>
      </c>
      <c r="AH78" s="42">
        <f t="shared" si="177"/>
        <v>12.5</v>
      </c>
      <c r="AI78" s="4">
        <f t="shared" si="178"/>
        <v>52.650474880286943</v>
      </c>
      <c r="AJ78" s="25">
        <f t="shared" si="179"/>
        <v>33.846733851613031</v>
      </c>
      <c r="AK78" s="4"/>
      <c r="AL78" s="4">
        <f t="shared" si="27"/>
        <v>42.4</v>
      </c>
      <c r="AM78" t="str">
        <f t="shared" si="28"/>
        <v>ACCIAIO</v>
      </c>
      <c r="AN78" s="4">
        <f t="shared" si="29"/>
        <v>33.846733851613031</v>
      </c>
      <c r="AO78" t="str">
        <f t="shared" si="30"/>
        <v>CALCESTRUZZO</v>
      </c>
      <c r="AR78" s="4">
        <f t="shared" si="180"/>
        <v>53</v>
      </c>
      <c r="AS78" t="str">
        <f t="shared" si="181"/>
        <v>ACCIAIO</v>
      </c>
      <c r="AT78" s="4">
        <f t="shared" si="182"/>
        <v>53</v>
      </c>
      <c r="AU78" t="str">
        <f t="shared" si="183"/>
        <v>ACCIAIO</v>
      </c>
      <c r="AX78" s="4">
        <f t="shared" si="184"/>
        <v>53</v>
      </c>
      <c r="AY78" t="str">
        <f t="shared" si="185"/>
        <v>ACCIAIO</v>
      </c>
      <c r="AZ78" s="4">
        <f t="shared" si="186"/>
        <v>53</v>
      </c>
      <c r="BA78" t="str">
        <f t="shared" si="187"/>
        <v>ACCIAIO</v>
      </c>
    </row>
    <row r="79" spans="23:53" ht="15" hidden="1" customHeight="1">
      <c r="W79" t="str">
        <f t="shared" si="147"/>
        <v>VGS_13</v>
      </c>
      <c r="X79" t="str">
        <f t="shared" si="171"/>
        <v>VGS_13_1300</v>
      </c>
      <c r="Y79" t="str">
        <f t="shared" si="62"/>
        <v>13</v>
      </c>
      <c r="Z79">
        <f t="shared" si="188"/>
        <v>1300</v>
      </c>
      <c r="AA79">
        <f t="shared" si="148"/>
        <v>42.4</v>
      </c>
      <c r="AB79" s="22">
        <f t="shared" si="172"/>
        <v>1093</v>
      </c>
      <c r="AC79" s="4">
        <f t="shared" si="87"/>
        <v>1183</v>
      </c>
      <c r="AD79" s="4">
        <f t="shared" si="173"/>
        <v>62.605005028979662</v>
      </c>
      <c r="AE79" s="25">
        <f t="shared" si="174"/>
        <v>67.225985762114988</v>
      </c>
      <c r="AF79" s="39">
        <f t="shared" si="175"/>
        <v>182</v>
      </c>
      <c r="AG79" s="15">
        <f t="shared" si="176"/>
        <v>117</v>
      </c>
      <c r="AH79" s="42">
        <f t="shared" si="177"/>
        <v>12.5</v>
      </c>
      <c r="AI79" s="4">
        <f t="shared" si="178"/>
        <v>52.650474880286943</v>
      </c>
      <c r="AJ79" s="25">
        <f t="shared" si="179"/>
        <v>33.846733851613031</v>
      </c>
      <c r="AK79" s="4"/>
      <c r="AL79" s="4">
        <f t="shared" si="27"/>
        <v>42.4</v>
      </c>
      <c r="AM79" t="str">
        <f t="shared" si="28"/>
        <v>ACCIAIO</v>
      </c>
      <c r="AN79" s="4">
        <f t="shared" si="29"/>
        <v>33.846733851613031</v>
      </c>
      <c r="AO79" t="str">
        <f t="shared" si="30"/>
        <v>CALCESTRUZZO</v>
      </c>
      <c r="AR79" s="4">
        <f t="shared" si="180"/>
        <v>53</v>
      </c>
      <c r="AS79" t="str">
        <f t="shared" si="181"/>
        <v>ACCIAIO</v>
      </c>
      <c r="AT79" s="4">
        <f t="shared" si="182"/>
        <v>53</v>
      </c>
      <c r="AU79" t="str">
        <f t="shared" si="183"/>
        <v>ACCIAIO</v>
      </c>
      <c r="AX79" s="4">
        <f t="shared" si="184"/>
        <v>53</v>
      </c>
      <c r="AY79" t="str">
        <f t="shared" si="185"/>
        <v>ACCIAIO</v>
      </c>
      <c r="AZ79" s="4">
        <f t="shared" si="186"/>
        <v>53</v>
      </c>
      <c r="BA79" t="str">
        <f t="shared" si="187"/>
        <v>ACCIAIO</v>
      </c>
    </row>
    <row r="80" spans="23:53" ht="15" hidden="1" customHeight="1">
      <c r="W80" t="str">
        <f t="shared" si="147"/>
        <v>VGS_13</v>
      </c>
      <c r="X80" t="str">
        <f t="shared" si="171"/>
        <v>VGS_13_1400</v>
      </c>
      <c r="Y80" t="str">
        <f t="shared" si="62"/>
        <v>13</v>
      </c>
      <c r="Z80">
        <f t="shared" ref="Z80:Z81" si="189">Z79+100</f>
        <v>1400</v>
      </c>
      <c r="AA80">
        <f t="shared" si="148"/>
        <v>42.4</v>
      </c>
      <c r="AB80" s="22">
        <f t="shared" si="172"/>
        <v>1193</v>
      </c>
      <c r="AC80" s="4">
        <f t="shared" si="87"/>
        <v>1283</v>
      </c>
      <c r="AD80" s="4">
        <f t="shared" si="173"/>
        <v>67.737210564149436</v>
      </c>
      <c r="AE80" s="25">
        <f t="shared" si="174"/>
        <v>72.319414222008433</v>
      </c>
      <c r="AF80" s="39">
        <f t="shared" si="175"/>
        <v>182</v>
      </c>
      <c r="AG80" s="15">
        <f t="shared" si="176"/>
        <v>117</v>
      </c>
      <c r="AH80" s="42">
        <f t="shared" si="177"/>
        <v>12.5</v>
      </c>
      <c r="AI80" s="4">
        <f t="shared" si="178"/>
        <v>52.650474880286943</v>
      </c>
      <c r="AJ80" s="25">
        <f t="shared" si="179"/>
        <v>33.846733851613031</v>
      </c>
      <c r="AK80" s="4"/>
      <c r="AL80" s="4">
        <f t="shared" si="27"/>
        <v>42.4</v>
      </c>
      <c r="AM80" t="str">
        <f t="shared" si="28"/>
        <v>ACCIAIO</v>
      </c>
      <c r="AN80" s="4">
        <f t="shared" si="29"/>
        <v>33.846733851613031</v>
      </c>
      <c r="AO80" t="str">
        <f t="shared" si="30"/>
        <v>CALCESTRUZZO</v>
      </c>
      <c r="AR80" s="4">
        <f t="shared" si="180"/>
        <v>53</v>
      </c>
      <c r="AS80" t="str">
        <f t="shared" si="181"/>
        <v>ACCIAIO</v>
      </c>
      <c r="AT80" s="4">
        <f t="shared" si="182"/>
        <v>53</v>
      </c>
      <c r="AU80" t="str">
        <f t="shared" si="183"/>
        <v>ACCIAIO</v>
      </c>
      <c r="AX80" s="4">
        <f t="shared" si="184"/>
        <v>53</v>
      </c>
      <c r="AY80" t="str">
        <f t="shared" si="185"/>
        <v>ACCIAIO</v>
      </c>
      <c r="AZ80" s="4">
        <f t="shared" si="186"/>
        <v>53</v>
      </c>
      <c r="BA80" t="str">
        <f t="shared" si="187"/>
        <v>ACCIAIO</v>
      </c>
    </row>
    <row r="81" spans="23:53" ht="15" hidden="1" customHeight="1">
      <c r="W81" t="str">
        <f t="shared" si="147"/>
        <v>VGS_13</v>
      </c>
      <c r="X81" t="str">
        <f t="shared" si="171"/>
        <v>VGS_13_1500</v>
      </c>
      <c r="Y81" t="str">
        <f t="shared" si="62"/>
        <v>13</v>
      </c>
      <c r="Z81">
        <f t="shared" si="189"/>
        <v>1500</v>
      </c>
      <c r="AA81">
        <f t="shared" si="148"/>
        <v>42.4</v>
      </c>
      <c r="AB81" s="22">
        <f t="shared" si="172"/>
        <v>1293</v>
      </c>
      <c r="AC81" s="4">
        <f t="shared" si="87"/>
        <v>1383</v>
      </c>
      <c r="AD81" s="4">
        <f t="shared" si="173"/>
        <v>72.826523962084877</v>
      </c>
      <c r="AE81" s="25">
        <f t="shared" si="174"/>
        <v>77.373255645495561</v>
      </c>
      <c r="AF81" s="39">
        <f t="shared" si="175"/>
        <v>182</v>
      </c>
      <c r="AG81" s="15">
        <f t="shared" si="176"/>
        <v>117</v>
      </c>
      <c r="AH81" s="42">
        <f t="shared" si="177"/>
        <v>12.5</v>
      </c>
      <c r="AI81" s="4">
        <f t="shared" si="178"/>
        <v>52.650474880286943</v>
      </c>
      <c r="AJ81" s="25">
        <f t="shared" si="179"/>
        <v>33.846733851613031</v>
      </c>
      <c r="AK81" s="4"/>
      <c r="AL81" s="4">
        <f t="shared" si="27"/>
        <v>42.4</v>
      </c>
      <c r="AM81" t="str">
        <f t="shared" si="28"/>
        <v>ACCIAIO</v>
      </c>
      <c r="AN81" s="4">
        <f t="shared" si="29"/>
        <v>33.846733851613031</v>
      </c>
      <c r="AO81" t="str">
        <f t="shared" si="30"/>
        <v>CALCESTRUZZO</v>
      </c>
      <c r="AR81" s="4">
        <f t="shared" si="180"/>
        <v>53</v>
      </c>
      <c r="AS81" t="str">
        <f t="shared" si="181"/>
        <v>ACCIAIO</v>
      </c>
      <c r="AT81" s="4">
        <f t="shared" si="182"/>
        <v>53</v>
      </c>
      <c r="AU81" t="str">
        <f t="shared" si="183"/>
        <v>ACCIAIO</v>
      </c>
      <c r="AX81" s="4">
        <f t="shared" si="184"/>
        <v>53</v>
      </c>
      <c r="AY81" t="str">
        <f t="shared" si="185"/>
        <v>ACCIAIO</v>
      </c>
      <c r="AZ81" s="4">
        <f t="shared" si="186"/>
        <v>53</v>
      </c>
      <c r="BA81" t="str">
        <f t="shared" si="187"/>
        <v>ACCIAIO</v>
      </c>
    </row>
    <row r="82" spans="23:53" ht="15" hidden="1" customHeight="1">
      <c r="AB82" s="22"/>
      <c r="AC82" s="4"/>
      <c r="AD82" s="4"/>
      <c r="AE82" s="25"/>
      <c r="AF82" s="39"/>
      <c r="AG82" s="15"/>
      <c r="AH82" s="42"/>
      <c r="AI82" s="4"/>
      <c r="AJ82" s="25"/>
      <c r="AK82" s="4"/>
      <c r="AL82" s="4"/>
      <c r="AN82" s="4"/>
      <c r="AR82" s="4"/>
      <c r="AT82" s="4"/>
      <c r="AX82" s="4"/>
      <c r="AZ82" s="4"/>
    </row>
    <row r="83" spans="23:53" ht="15" hidden="1" customHeight="1">
      <c r="AB83" s="22"/>
      <c r="AC83" s="4"/>
      <c r="AD83" s="4"/>
      <c r="AE83" s="25"/>
      <c r="AF83" s="39"/>
      <c r="AG83" s="15"/>
      <c r="AH83" s="42"/>
      <c r="AI83" s="4"/>
      <c r="AJ83" s="25"/>
      <c r="AK83" s="4"/>
      <c r="AL83" s="4"/>
      <c r="AN83" s="4"/>
      <c r="AR83" s="4"/>
      <c r="AT83" s="4"/>
      <c r="AX83" s="4"/>
      <c r="AZ83" s="4"/>
    </row>
    <row r="84" spans="23:53" ht="15" hidden="1" customHeight="1">
      <c r="W84" t="str">
        <f t="shared" ref="W84:W98" si="190">$E$14</f>
        <v>RTR_16</v>
      </c>
      <c r="X84" t="str">
        <f>_xlfn.CONCAT(W84,"_",Z84)</f>
        <v>RTR_16_300</v>
      </c>
      <c r="Y84" t="str">
        <f t="shared" si="62"/>
        <v>16</v>
      </c>
      <c r="Z84">
        <v>300</v>
      </c>
      <c r="AA84">
        <f t="shared" ref="AA84:AA98" si="191">$G$14/$AE$14</f>
        <v>80</v>
      </c>
      <c r="AB84" s="22">
        <f t="shared" ref="AB84:AB98" si="192">Z84-AF84-25</f>
        <v>51</v>
      </c>
      <c r="AC84" s="4">
        <f t="shared" si="87"/>
        <v>156</v>
      </c>
      <c r="AD84" s="4">
        <f>((15*(Y84^0.8)*AB84^0.9)/1000)*$AE$10/$AE$9</f>
        <v>3.5145249856520744</v>
      </c>
      <c r="AE84" s="25">
        <f>((15*(Y84^0.8)*AC84^0.9)/1000)*$AE$10/$AE$9</f>
        <v>9.6131477039421114</v>
      </c>
      <c r="AF84" s="39">
        <f>MAX(14*Y84,150)</f>
        <v>224</v>
      </c>
      <c r="AG84" s="15">
        <f>MAX(9*Y84,100)</f>
        <v>144</v>
      </c>
      <c r="AH84" s="42">
        <f>VLOOKUP(W84,$E$11:$I$14,4,FALSE)</f>
        <v>9</v>
      </c>
      <c r="AI84" s="4">
        <f>((Y84*PI())*AF84)*(AH84*$AE$18/$AE$17)/1000</f>
        <v>57.423287159375668</v>
      </c>
      <c r="AJ84" s="25">
        <f>((Y84*PI())*AG84)*(AH84*$AE$18/$AE$17)/1000</f>
        <v>36.914970316741503</v>
      </c>
      <c r="AK84" s="4"/>
      <c r="AL84" s="4">
        <f t="shared" si="27"/>
        <v>3.5145249856520744</v>
      </c>
      <c r="AM84" t="str">
        <f t="shared" si="28"/>
        <v>LEGNO</v>
      </c>
      <c r="AN84" s="4">
        <f t="shared" si="29"/>
        <v>9.6131477039421114</v>
      </c>
      <c r="AO84" t="str">
        <f t="shared" si="30"/>
        <v>LEGNO</v>
      </c>
      <c r="AR84" s="4">
        <f t="shared" ref="AR84:AR98" si="193">MIN(AA84*$AE$14,AD84*$AE$9/$AE$10,AI84*$AE$17/$AE$18)</f>
        <v>4.7446087306303006</v>
      </c>
      <c r="AS84" t="str">
        <f t="shared" ref="AS84:AS98" si="194">IF(AR84=AA84*$AE$14,"ACCIAIO",IF(AR84=AD84*$AE$9/$AE$10,"LEGNO",IF(AR84=AI84*$AE$17/$AE$18," CALCESTRUZZO")))</f>
        <v>LEGNO</v>
      </c>
      <c r="AT84" s="4">
        <f t="shared" ref="AT84:AT98" si="195">MIN(AA84*$AE$14,AE84*$AE$9/$AE$10,AJ84*$AE$17/$AE$18)</f>
        <v>12.977749400321851</v>
      </c>
      <c r="AU84" t="str">
        <f t="shared" ref="AU84:AU98" si="196">IF(AT84=AA84*$AE$14,"ACCIAIO",IF(AT84=AE84*$AE$9/$AE$10,"LEGNO",IF(AT84=AJ84*$AE$17/$AE$18," CALCESTRUZZO")))</f>
        <v>LEGNO</v>
      </c>
      <c r="AX84" s="4">
        <f t="shared" ref="AX84:AX98" si="197">MIN(AA84*$AE$14,$AZ$18*AD84*$AE$9/$AE$10,AI84*$AE$17/$AE$18)</f>
        <v>7.1169130959454519</v>
      </c>
      <c r="AY84" t="str">
        <f t="shared" ref="AY84:AY98" si="198">IF(AX84=AA84*$AE$14,"ACCIAIO",IF(AX84=$AZ$18*AD84*$AE$9/$AE$10,"LEGNO",IF(AX84=AI84*$AE$17/$AE$18," CALCESTRUZZO")))</f>
        <v>LEGNO</v>
      </c>
      <c r="AZ84" s="4">
        <f t="shared" ref="AZ84:AZ98" si="199">MIN(AA84*$AE$14,$AZ$18*AE84*$AE$9/$AE$10,AJ84*$AE$17/$AE$18)</f>
        <v>19.466624100482775</v>
      </c>
      <c r="BA84" t="str">
        <f t="shared" ref="BA84:BA98" si="200">IF(AZ84=AA84*$AE$14,"ACCIAIO",IF(AZ84=$AZ$18*AE84*$AE$9/$AE$10,"LEGNO",IF(AZ84=AJ84*$AE$17/$AE$18," CALCESTRUZZO")))</f>
        <v>LEGNO</v>
      </c>
    </row>
    <row r="85" spans="23:53" ht="15" hidden="1" customHeight="1">
      <c r="W85" t="str">
        <f t="shared" si="190"/>
        <v>RTR_16</v>
      </c>
      <c r="X85" t="str">
        <f t="shared" ref="X85:X91" si="201">_xlfn.CONCAT(W85,"_",Z85)</f>
        <v>RTR_16_350</v>
      </c>
      <c r="Y85" t="str">
        <f t="shared" si="62"/>
        <v>16</v>
      </c>
      <c r="Z85">
        <f>Z84+50</f>
        <v>350</v>
      </c>
      <c r="AA85">
        <f t="shared" si="191"/>
        <v>80</v>
      </c>
      <c r="AB85" s="22">
        <f t="shared" ref="AB85:AB91" si="202">Z85-AF85-25</f>
        <v>101</v>
      </c>
      <c r="AC85" s="4">
        <f t="shared" ref="AC85:AC91" si="203">Z85-AG85</f>
        <v>206</v>
      </c>
      <c r="AD85" s="4">
        <f t="shared" ref="AD85:AD91" si="204">((15*(Y85^0.8)*AB85^0.9)/1000)*$AE$10/$AE$9</f>
        <v>6.5004393870113342</v>
      </c>
      <c r="AE85" s="25">
        <f t="shared" ref="AE85:AE91" si="205">((15*(Y85^0.8)*AC85^0.9)/1000)*$AE$10/$AE$9</f>
        <v>12.346218963196012</v>
      </c>
      <c r="AF85" s="39">
        <f t="shared" ref="AF85:AF91" si="206">MAX(14*Y85,150)</f>
        <v>224</v>
      </c>
      <c r="AG85" s="15">
        <f t="shared" ref="AG85:AG91" si="207">MAX(9*Y85,100)</f>
        <v>144</v>
      </c>
      <c r="AH85" s="42">
        <f t="shared" ref="AH85:AH91" si="208">VLOOKUP(W85,$E$11:$I$14,4,FALSE)</f>
        <v>9</v>
      </c>
      <c r="AI85" s="4">
        <f t="shared" ref="AI85:AI91" si="209">((Y85*PI())*AF85)*(AH85*$AE$18/$AE$17)/1000</f>
        <v>57.423287159375668</v>
      </c>
      <c r="AJ85" s="25">
        <f t="shared" ref="AJ85:AJ91" si="210">((Y85*PI())*AG85)*(AH85*$AE$18/$AE$17)/1000</f>
        <v>36.914970316741503</v>
      </c>
      <c r="AK85" s="4"/>
      <c r="AL85" s="4">
        <f t="shared" ref="AL85:AL91" si="211">MIN(AA85,AD85,AI85)</f>
        <v>6.5004393870113342</v>
      </c>
      <c r="AM85" t="str">
        <f t="shared" ref="AM85:AM91" si="212">IF(AL85=AA85,"ACCIAIO",IF(AL85=AD85,"LEGNO",IF(AL85=AI85," CALCESTRUZZO")))</f>
        <v>LEGNO</v>
      </c>
      <c r="AN85" s="4">
        <f t="shared" ref="AN85:AN91" si="213">MIN(AA85,AE85,AJ85)</f>
        <v>12.346218963196012</v>
      </c>
      <c r="AO85" t="str">
        <f t="shared" ref="AO85:AO91" si="214">IF(AN85=AA85,"ACCIAIO",IF(AN85=AE85,"LEGNO",IF(AN85=AJ85,"CALCESTRUZZO")))</f>
        <v>LEGNO</v>
      </c>
      <c r="AR85" s="4">
        <f t="shared" ref="AR85:AR91" si="215">MIN(AA85*$AE$14,AD85*$AE$9/$AE$10,AI85*$AE$17/$AE$18)</f>
        <v>8.7755931724653014</v>
      </c>
      <c r="AS85" t="str">
        <f t="shared" ref="AS85:AS91" si="216">IF(AR85=AA85*$AE$14,"ACCIAIO",IF(AR85=AD85*$AE$9/$AE$10,"LEGNO",IF(AR85=AI85*$AE$17/$AE$18," CALCESTRUZZO")))</f>
        <v>LEGNO</v>
      </c>
      <c r="AT85" s="4">
        <f t="shared" ref="AT85:AT91" si="217">MIN(AA85*$AE$14,AE85*$AE$9/$AE$10,AJ85*$AE$17/$AE$18)</f>
        <v>16.667395600314617</v>
      </c>
      <c r="AU85" t="str">
        <f t="shared" ref="AU85:AU91" si="218">IF(AT85=AA85*$AE$14,"ACCIAIO",IF(AT85=AE85*$AE$9/$AE$10,"LEGNO",IF(AT85=AJ85*$AE$17/$AE$18," CALCESTRUZZO")))</f>
        <v>LEGNO</v>
      </c>
      <c r="AX85" s="4">
        <f t="shared" ref="AX85:AX91" si="219">MIN(AA85*$AE$14,$AZ$18*AD85*$AE$9/$AE$10,AI85*$AE$17/$AE$18)</f>
        <v>13.163389758697953</v>
      </c>
      <c r="AY85" t="str">
        <f t="shared" ref="AY85:AY91" si="220">IF(AX85=AA85*$AE$14,"ACCIAIO",IF(AX85=$AZ$18*AD85*$AE$9/$AE$10,"LEGNO",IF(AX85=AI85*$AE$17/$AE$18," CALCESTRUZZO")))</f>
        <v>LEGNO</v>
      </c>
      <c r="AZ85" s="4">
        <f t="shared" ref="AZ85:AZ91" si="221">MIN(AA85*$AE$14,$AZ$18*AE85*$AE$9/$AE$10,AJ85*$AE$17/$AE$18)</f>
        <v>25.00109340047193</v>
      </c>
      <c r="BA85" t="str">
        <f t="shared" ref="BA85:BA91" si="222">IF(AZ85=AA85*$AE$14,"ACCIAIO",IF(AZ85=$AZ$18*AE85*$AE$9/$AE$10,"LEGNO",IF(AZ85=AJ85*$AE$17/$AE$18," CALCESTRUZZO")))</f>
        <v>LEGNO</v>
      </c>
    </row>
    <row r="86" spans="23:53" ht="15" hidden="1" customHeight="1">
      <c r="W86" t="str">
        <f t="shared" si="190"/>
        <v>RTR_16</v>
      </c>
      <c r="X86" t="str">
        <f t="shared" si="201"/>
        <v>RTR_16_400</v>
      </c>
      <c r="Y86" t="str">
        <f t="shared" si="62"/>
        <v>16</v>
      </c>
      <c r="Z86">
        <f t="shared" ref="Z86:Z98" si="223">Z85+50</f>
        <v>400</v>
      </c>
      <c r="AA86">
        <f t="shared" si="191"/>
        <v>80</v>
      </c>
      <c r="AB86" s="22">
        <f t="shared" si="202"/>
        <v>151</v>
      </c>
      <c r="AC86" s="4">
        <f t="shared" si="203"/>
        <v>256</v>
      </c>
      <c r="AD86" s="4">
        <f t="shared" si="204"/>
        <v>9.3353956593028613</v>
      </c>
      <c r="AE86" s="25">
        <f t="shared" si="205"/>
        <v>15.013067784793812</v>
      </c>
      <c r="AF86" s="39">
        <f t="shared" si="206"/>
        <v>224</v>
      </c>
      <c r="AG86" s="15">
        <f t="shared" si="207"/>
        <v>144</v>
      </c>
      <c r="AH86" s="42">
        <f t="shared" si="208"/>
        <v>9</v>
      </c>
      <c r="AI86" s="4">
        <f t="shared" si="209"/>
        <v>57.423287159375668</v>
      </c>
      <c r="AJ86" s="25">
        <f t="shared" si="210"/>
        <v>36.914970316741503</v>
      </c>
      <c r="AK86" s="4"/>
      <c r="AL86" s="4">
        <f t="shared" si="211"/>
        <v>9.3353956593028613</v>
      </c>
      <c r="AM86" t="str">
        <f t="shared" si="212"/>
        <v>LEGNO</v>
      </c>
      <c r="AN86" s="4">
        <f t="shared" si="213"/>
        <v>15.013067784793812</v>
      </c>
      <c r="AO86" t="str">
        <f t="shared" si="214"/>
        <v>LEGNO</v>
      </c>
      <c r="AR86" s="4">
        <f t="shared" si="215"/>
        <v>12.602784140058864</v>
      </c>
      <c r="AS86" t="str">
        <f t="shared" si="216"/>
        <v>LEGNO</v>
      </c>
      <c r="AT86" s="4">
        <f t="shared" si="217"/>
        <v>20.267641509471648</v>
      </c>
      <c r="AU86" t="str">
        <f t="shared" si="218"/>
        <v>LEGNO</v>
      </c>
      <c r="AX86" s="4">
        <f t="shared" si="219"/>
        <v>18.904176210088295</v>
      </c>
      <c r="AY86" t="str">
        <f t="shared" si="220"/>
        <v>LEGNO</v>
      </c>
      <c r="AZ86" s="4">
        <f t="shared" si="221"/>
        <v>30.401462264207471</v>
      </c>
      <c r="BA86" t="str">
        <f t="shared" si="222"/>
        <v>LEGNO</v>
      </c>
    </row>
    <row r="87" spans="23:53" ht="15" hidden="1" customHeight="1">
      <c r="W87" t="str">
        <f t="shared" si="190"/>
        <v>RTR_16</v>
      </c>
      <c r="X87" t="str">
        <f t="shared" si="201"/>
        <v>RTR_16_450</v>
      </c>
      <c r="Y87" t="str">
        <f t="shared" si="62"/>
        <v>16</v>
      </c>
      <c r="Z87">
        <f t="shared" si="223"/>
        <v>450</v>
      </c>
      <c r="AA87">
        <f t="shared" si="191"/>
        <v>80</v>
      </c>
      <c r="AB87" s="22">
        <f t="shared" si="202"/>
        <v>201</v>
      </c>
      <c r="AC87" s="4">
        <f t="shared" si="203"/>
        <v>306</v>
      </c>
      <c r="AD87" s="4">
        <f t="shared" si="204"/>
        <v>12.076189750110517</v>
      </c>
      <c r="AE87" s="25">
        <f t="shared" si="205"/>
        <v>17.627988581272128</v>
      </c>
      <c r="AF87" s="39">
        <f t="shared" si="206"/>
        <v>224</v>
      </c>
      <c r="AG87" s="15">
        <f t="shared" si="207"/>
        <v>144</v>
      </c>
      <c r="AH87" s="42">
        <f t="shared" si="208"/>
        <v>9</v>
      </c>
      <c r="AI87" s="4">
        <f t="shared" si="209"/>
        <v>57.423287159375668</v>
      </c>
      <c r="AJ87" s="25">
        <f t="shared" si="210"/>
        <v>36.914970316741503</v>
      </c>
      <c r="AK87" s="4"/>
      <c r="AL87" s="4">
        <f t="shared" si="211"/>
        <v>12.076189750110517</v>
      </c>
      <c r="AM87" t="str">
        <f t="shared" si="212"/>
        <v>LEGNO</v>
      </c>
      <c r="AN87" s="4">
        <f t="shared" si="213"/>
        <v>17.627988581272128</v>
      </c>
      <c r="AO87" t="str">
        <f t="shared" si="214"/>
        <v>LEGNO</v>
      </c>
      <c r="AR87" s="4">
        <f t="shared" si="215"/>
        <v>16.302856162649199</v>
      </c>
      <c r="AS87" t="str">
        <f t="shared" si="216"/>
        <v>LEGNO</v>
      </c>
      <c r="AT87" s="4">
        <f t="shared" si="217"/>
        <v>23.797784584717373</v>
      </c>
      <c r="AU87" t="str">
        <f t="shared" si="218"/>
        <v>LEGNO</v>
      </c>
      <c r="AX87" s="4">
        <f t="shared" si="219"/>
        <v>24.454284243973799</v>
      </c>
      <c r="AY87" t="str">
        <f t="shared" si="220"/>
        <v>LEGNO</v>
      </c>
      <c r="AZ87" s="4">
        <f t="shared" si="221"/>
        <v>35.696676877076058</v>
      </c>
      <c r="BA87" t="str">
        <f t="shared" si="222"/>
        <v>LEGNO</v>
      </c>
    </row>
    <row r="88" spans="23:53" ht="15" hidden="1" customHeight="1">
      <c r="W88" t="str">
        <f t="shared" si="190"/>
        <v>RTR_16</v>
      </c>
      <c r="X88" t="str">
        <f t="shared" si="201"/>
        <v>RTR_16_500</v>
      </c>
      <c r="Y88" t="str">
        <f t="shared" si="62"/>
        <v>16</v>
      </c>
      <c r="Z88">
        <f t="shared" si="223"/>
        <v>500</v>
      </c>
      <c r="AA88">
        <f t="shared" si="191"/>
        <v>80</v>
      </c>
      <c r="AB88" s="22">
        <f t="shared" si="202"/>
        <v>251</v>
      </c>
      <c r="AC88" s="4">
        <f t="shared" si="203"/>
        <v>356</v>
      </c>
      <c r="AD88" s="4">
        <f t="shared" si="204"/>
        <v>14.748906621468088</v>
      </c>
      <c r="AE88" s="25">
        <f t="shared" si="205"/>
        <v>20.200330491292355</v>
      </c>
      <c r="AF88" s="39">
        <f t="shared" si="206"/>
        <v>224</v>
      </c>
      <c r="AG88" s="15">
        <f t="shared" si="207"/>
        <v>144</v>
      </c>
      <c r="AH88" s="42">
        <f t="shared" si="208"/>
        <v>9</v>
      </c>
      <c r="AI88" s="4">
        <f t="shared" si="209"/>
        <v>57.423287159375668</v>
      </c>
      <c r="AJ88" s="25">
        <f t="shared" si="210"/>
        <v>36.914970316741503</v>
      </c>
      <c r="AK88" s="4"/>
      <c r="AL88" s="4">
        <f t="shared" si="211"/>
        <v>14.748906621468088</v>
      </c>
      <c r="AM88" t="str">
        <f t="shared" si="212"/>
        <v>LEGNO</v>
      </c>
      <c r="AN88" s="4">
        <f t="shared" si="213"/>
        <v>20.200330491292355</v>
      </c>
      <c r="AO88" t="str">
        <f t="shared" si="214"/>
        <v>LEGNO</v>
      </c>
      <c r="AR88" s="4">
        <f t="shared" si="215"/>
        <v>19.91102393898192</v>
      </c>
      <c r="AS88" t="str">
        <f t="shared" si="216"/>
        <v>LEGNO</v>
      </c>
      <c r="AT88" s="4">
        <f t="shared" si="217"/>
        <v>27.270446163244682</v>
      </c>
      <c r="AU88" t="str">
        <f t="shared" si="218"/>
        <v>LEGNO</v>
      </c>
      <c r="AX88" s="4">
        <f t="shared" si="219"/>
        <v>29.86653590847288</v>
      </c>
      <c r="AY88" t="str">
        <f t="shared" si="220"/>
        <v>LEGNO</v>
      </c>
      <c r="AZ88" s="4">
        <f t="shared" si="221"/>
        <v>40.90566924486702</v>
      </c>
      <c r="BA88" t="str">
        <f t="shared" si="222"/>
        <v>LEGNO</v>
      </c>
    </row>
    <row r="89" spans="23:53" ht="15" hidden="1" customHeight="1">
      <c r="W89" t="str">
        <f t="shared" si="190"/>
        <v>RTR_16</v>
      </c>
      <c r="X89" t="str">
        <f t="shared" si="201"/>
        <v>RTR_16_550</v>
      </c>
      <c r="Y89" t="str">
        <f t="shared" si="62"/>
        <v>16</v>
      </c>
      <c r="Z89">
        <f t="shared" si="223"/>
        <v>550</v>
      </c>
      <c r="AA89">
        <f t="shared" si="191"/>
        <v>80</v>
      </c>
      <c r="AB89" s="22">
        <f t="shared" si="202"/>
        <v>301</v>
      </c>
      <c r="AC89" s="4">
        <f t="shared" si="203"/>
        <v>406</v>
      </c>
      <c r="AD89" s="4">
        <f t="shared" si="204"/>
        <v>17.368540381761637</v>
      </c>
      <c r="AE89" s="25">
        <f t="shared" si="205"/>
        <v>22.736672535105697</v>
      </c>
      <c r="AF89" s="39">
        <f t="shared" si="206"/>
        <v>224</v>
      </c>
      <c r="AG89" s="15">
        <f t="shared" si="207"/>
        <v>144</v>
      </c>
      <c r="AH89" s="42">
        <f t="shared" si="208"/>
        <v>9</v>
      </c>
      <c r="AI89" s="4">
        <f t="shared" si="209"/>
        <v>57.423287159375668</v>
      </c>
      <c r="AJ89" s="25">
        <f t="shared" si="210"/>
        <v>36.914970316741503</v>
      </c>
      <c r="AK89" s="4"/>
      <c r="AL89" s="4">
        <f t="shared" si="211"/>
        <v>17.368540381761637</v>
      </c>
      <c r="AM89" t="str">
        <f t="shared" si="212"/>
        <v>LEGNO</v>
      </c>
      <c r="AN89" s="4">
        <f t="shared" si="213"/>
        <v>22.736672535105697</v>
      </c>
      <c r="AO89" t="str">
        <f t="shared" si="214"/>
        <v>LEGNO</v>
      </c>
      <c r="AR89" s="4">
        <f t="shared" si="215"/>
        <v>23.447529515378211</v>
      </c>
      <c r="AS89" t="str">
        <f t="shared" si="216"/>
        <v>LEGNO</v>
      </c>
      <c r="AT89" s="4">
        <f t="shared" si="217"/>
        <v>30.694507922392692</v>
      </c>
      <c r="AU89" t="str">
        <f t="shared" si="218"/>
        <v>LEGNO</v>
      </c>
      <c r="AX89" s="4">
        <f t="shared" si="219"/>
        <v>35.171294273067318</v>
      </c>
      <c r="AY89" t="str">
        <f t="shared" si="220"/>
        <v>LEGNO</v>
      </c>
      <c r="AZ89" s="4">
        <f t="shared" si="221"/>
        <v>46.041761883589039</v>
      </c>
      <c r="BA89" t="str">
        <f t="shared" si="222"/>
        <v>LEGNO</v>
      </c>
    </row>
    <row r="90" spans="23:53" ht="15" hidden="1" customHeight="1">
      <c r="W90" t="str">
        <f t="shared" si="190"/>
        <v>RTR_16</v>
      </c>
      <c r="X90" t="str">
        <f t="shared" si="201"/>
        <v>RTR_16_600</v>
      </c>
      <c r="Y90" t="str">
        <f t="shared" si="62"/>
        <v>16</v>
      </c>
      <c r="Z90">
        <f t="shared" si="223"/>
        <v>600</v>
      </c>
      <c r="AA90">
        <f t="shared" si="191"/>
        <v>80</v>
      </c>
      <c r="AB90" s="22">
        <f t="shared" si="202"/>
        <v>351</v>
      </c>
      <c r="AC90" s="4">
        <f t="shared" si="203"/>
        <v>456</v>
      </c>
      <c r="AD90" s="4">
        <f t="shared" si="204"/>
        <v>19.944808992106704</v>
      </c>
      <c r="AE90" s="25">
        <f t="shared" si="205"/>
        <v>25.241887980999799</v>
      </c>
      <c r="AF90" s="39">
        <f t="shared" si="206"/>
        <v>224</v>
      </c>
      <c r="AG90" s="15">
        <f t="shared" si="207"/>
        <v>144</v>
      </c>
      <c r="AH90" s="42">
        <f t="shared" si="208"/>
        <v>9</v>
      </c>
      <c r="AI90" s="4">
        <f t="shared" si="209"/>
        <v>57.423287159375668</v>
      </c>
      <c r="AJ90" s="25">
        <f t="shared" si="210"/>
        <v>36.914970316741503</v>
      </c>
      <c r="AK90" s="4"/>
      <c r="AL90" s="4">
        <f t="shared" si="211"/>
        <v>19.944808992106704</v>
      </c>
      <c r="AM90" t="str">
        <f t="shared" si="212"/>
        <v>LEGNO</v>
      </c>
      <c r="AN90" s="4">
        <f t="shared" si="213"/>
        <v>25.241887980999799</v>
      </c>
      <c r="AO90" t="str">
        <f t="shared" si="214"/>
        <v>LEGNO</v>
      </c>
      <c r="AR90" s="4">
        <f t="shared" si="215"/>
        <v>26.925492139344051</v>
      </c>
      <c r="AS90" t="str">
        <f t="shared" si="216"/>
        <v>LEGNO</v>
      </c>
      <c r="AT90" s="4">
        <f t="shared" si="217"/>
        <v>34.076548774349732</v>
      </c>
      <c r="AU90" t="str">
        <f t="shared" si="218"/>
        <v>LEGNO</v>
      </c>
      <c r="AX90" s="4">
        <f t="shared" si="219"/>
        <v>40.38823820901608</v>
      </c>
      <c r="AY90" t="str">
        <f t="shared" si="220"/>
        <v>LEGNO</v>
      </c>
      <c r="AZ90" s="4">
        <f t="shared" si="221"/>
        <v>51.114823161524598</v>
      </c>
      <c r="BA90" t="str">
        <f t="shared" si="222"/>
        <v>LEGNO</v>
      </c>
    </row>
    <row r="91" spans="23:53" ht="15" hidden="1" customHeight="1">
      <c r="W91" t="str">
        <f t="shared" si="190"/>
        <v>RTR_16</v>
      </c>
      <c r="X91" t="str">
        <f t="shared" si="201"/>
        <v>RTR_16_650</v>
      </c>
      <c r="Y91" t="str">
        <f t="shared" si="62"/>
        <v>16</v>
      </c>
      <c r="Z91">
        <f t="shared" si="223"/>
        <v>650</v>
      </c>
      <c r="AA91">
        <f t="shared" si="191"/>
        <v>80</v>
      </c>
      <c r="AB91" s="22">
        <f t="shared" si="202"/>
        <v>401</v>
      </c>
      <c r="AC91" s="4">
        <f t="shared" si="203"/>
        <v>506</v>
      </c>
      <c r="AD91" s="4">
        <f t="shared" si="204"/>
        <v>22.484509198612479</v>
      </c>
      <c r="AE91" s="25">
        <f t="shared" si="205"/>
        <v>27.719726557369231</v>
      </c>
      <c r="AF91" s="39">
        <f t="shared" si="206"/>
        <v>224</v>
      </c>
      <c r="AG91" s="15">
        <f t="shared" si="207"/>
        <v>144</v>
      </c>
      <c r="AH91" s="42">
        <f t="shared" si="208"/>
        <v>9</v>
      </c>
      <c r="AI91" s="4">
        <f t="shared" si="209"/>
        <v>57.423287159375668</v>
      </c>
      <c r="AJ91" s="25">
        <f t="shared" si="210"/>
        <v>36.914970316741503</v>
      </c>
      <c r="AK91" s="4"/>
      <c r="AL91" s="4">
        <f t="shared" si="211"/>
        <v>22.484509198612479</v>
      </c>
      <c r="AM91" t="str">
        <f t="shared" si="212"/>
        <v>LEGNO</v>
      </c>
      <c r="AN91" s="4">
        <f t="shared" si="213"/>
        <v>27.719726557369231</v>
      </c>
      <c r="AO91" t="str">
        <f t="shared" si="214"/>
        <v>LEGNO</v>
      </c>
      <c r="AR91" s="4">
        <f t="shared" si="215"/>
        <v>30.354087418126849</v>
      </c>
      <c r="AS91" t="str">
        <f t="shared" si="216"/>
        <v>LEGNO</v>
      </c>
      <c r="AT91" s="4">
        <f t="shared" si="217"/>
        <v>37.421630852448466</v>
      </c>
      <c r="AU91" t="str">
        <f t="shared" si="218"/>
        <v>LEGNO</v>
      </c>
      <c r="AX91" s="4">
        <f t="shared" si="219"/>
        <v>45.531131127190278</v>
      </c>
      <c r="AY91" t="str">
        <f t="shared" si="220"/>
        <v>LEGNO</v>
      </c>
      <c r="AZ91" s="4">
        <f t="shared" si="221"/>
        <v>56.132446278672703</v>
      </c>
      <c r="BA91" t="str">
        <f t="shared" si="222"/>
        <v>LEGNO</v>
      </c>
    </row>
    <row r="92" spans="23:53" ht="15" hidden="1" customHeight="1">
      <c r="W92" t="str">
        <f t="shared" si="190"/>
        <v>RTR_16</v>
      </c>
      <c r="X92" t="str">
        <f>_xlfn.CONCAT(W92,"_",Z92)</f>
        <v>RTR_16_700</v>
      </c>
      <c r="Y92" t="str">
        <f t="shared" ref="Y92:Y98" si="224">IF(MID(W92,5,1)&lt;=9,MID(W92,5,1),MID(W92,5,2))</f>
        <v>16</v>
      </c>
      <c r="Z92">
        <f t="shared" si="223"/>
        <v>700</v>
      </c>
      <c r="AA92">
        <f t="shared" si="191"/>
        <v>80</v>
      </c>
      <c r="AB92" s="22">
        <f t="shared" si="192"/>
        <v>451</v>
      </c>
      <c r="AC92" s="4">
        <f t="shared" si="87"/>
        <v>556</v>
      </c>
      <c r="AD92" s="4">
        <f>((15*(Y92^0.8)*AB92^0.9)/1000)*$AE$10/$AE$9</f>
        <v>24.992653283340704</v>
      </c>
      <c r="AE92" s="25">
        <f>((15*(Y92^0.8)*AC92^0.9)/1000)*$AE$10/$AE$9</f>
        <v>30.173159541162459</v>
      </c>
      <c r="AF92" s="39">
        <f>MAX(14*Y92,150)</f>
        <v>224</v>
      </c>
      <c r="AG92" s="15">
        <f>MAX(9*Y92,100)</f>
        <v>144</v>
      </c>
      <c r="AH92" s="42">
        <f>VLOOKUP(W92,$E$11:$I$14,4,FALSE)</f>
        <v>9</v>
      </c>
      <c r="AI92" s="4">
        <f>((Y92*PI())*AF92)*(AH92*$AE$18/$AE$17)/1000</f>
        <v>57.423287159375668</v>
      </c>
      <c r="AJ92" s="25">
        <f>((Y92*PI())*AG92)*(AH92*$AE$18/$AE$17)/1000</f>
        <v>36.914970316741503</v>
      </c>
      <c r="AK92" s="4"/>
      <c r="AL92" s="4">
        <f t="shared" si="27"/>
        <v>24.992653283340704</v>
      </c>
      <c r="AM92" t="str">
        <f t="shared" si="28"/>
        <v>LEGNO</v>
      </c>
      <c r="AN92" s="4">
        <f t="shared" si="29"/>
        <v>30.173159541162459</v>
      </c>
      <c r="AO92" t="str">
        <f t="shared" si="30"/>
        <v>LEGNO</v>
      </c>
      <c r="AR92" s="4">
        <f t="shared" si="193"/>
        <v>33.740081932509952</v>
      </c>
      <c r="AS92" t="str">
        <f t="shared" si="194"/>
        <v>LEGNO</v>
      </c>
      <c r="AT92" s="4">
        <f t="shared" si="195"/>
        <v>40.733765380569324</v>
      </c>
      <c r="AU92" t="str">
        <f t="shared" si="196"/>
        <v>LEGNO</v>
      </c>
      <c r="AX92" s="4">
        <f t="shared" si="197"/>
        <v>50.610122898764935</v>
      </c>
      <c r="AY92" t="str">
        <f t="shared" si="198"/>
        <v>LEGNO</v>
      </c>
      <c r="AZ92" s="4">
        <f t="shared" si="199"/>
        <v>61.100648070853978</v>
      </c>
      <c r="BA92" t="str">
        <f t="shared" si="200"/>
        <v>LEGNO</v>
      </c>
    </row>
    <row r="93" spans="23:53" ht="15" hidden="1" customHeight="1">
      <c r="W93" t="str">
        <f t="shared" si="190"/>
        <v>RTR_16</v>
      </c>
      <c r="X93" t="str">
        <f>_xlfn.CONCAT(W93,"_",Z93)</f>
        <v>RTR_16_750</v>
      </c>
      <c r="Y93" t="str">
        <f t="shared" si="224"/>
        <v>16</v>
      </c>
      <c r="Z93">
        <f t="shared" si="223"/>
        <v>750</v>
      </c>
      <c r="AA93">
        <f t="shared" si="191"/>
        <v>80</v>
      </c>
      <c r="AB93" s="22">
        <f>Z93-AF93-25</f>
        <v>501</v>
      </c>
      <c r="AC93" s="4">
        <f t="shared" si="87"/>
        <v>606</v>
      </c>
      <c r="AD93" s="4">
        <f>((15*(Y93^0.8)*AB93^0.9)/1000)*$AE$10/$AE$9</f>
        <v>27.473085008363245</v>
      </c>
      <c r="AE93" s="25">
        <f>((15*(Y93^0.8)*AC93^0.9)/1000)*$AE$10/$AE$9</f>
        <v>32.604597137677402</v>
      </c>
      <c r="AF93" s="39">
        <f>MAX(14*Y93,150)</f>
        <v>224</v>
      </c>
      <c r="AG93" s="15">
        <f>MAX(9*Y93,100)</f>
        <v>144</v>
      </c>
      <c r="AH93" s="42">
        <f>VLOOKUP(W93,$E$11:$I$14,4,FALSE)</f>
        <v>9</v>
      </c>
      <c r="AI93" s="4">
        <f>((Y93*PI())*AF93)*(AH93*$AE$18/$AE$17)/1000</f>
        <v>57.423287159375668</v>
      </c>
      <c r="AJ93" s="25">
        <f>((Y93*PI())*AG93)*(AH93*$AE$18/$AE$17)/1000</f>
        <v>36.914970316741503</v>
      </c>
      <c r="AK93" s="4"/>
      <c r="AL93" s="4">
        <f t="shared" si="27"/>
        <v>27.473085008363245</v>
      </c>
      <c r="AM93" t="str">
        <f t="shared" si="28"/>
        <v>LEGNO</v>
      </c>
      <c r="AN93" s="4">
        <f t="shared" si="29"/>
        <v>32.604597137677402</v>
      </c>
      <c r="AO93" t="str">
        <f t="shared" si="30"/>
        <v>LEGNO</v>
      </c>
      <c r="AR93" s="4">
        <f t="shared" si="193"/>
        <v>37.088664761290381</v>
      </c>
      <c r="AS93" t="str">
        <f t="shared" si="194"/>
        <v>LEGNO</v>
      </c>
      <c r="AT93" s="4">
        <f t="shared" si="195"/>
        <v>44.016206135864493</v>
      </c>
      <c r="AU93" t="str">
        <f t="shared" si="196"/>
        <v>LEGNO</v>
      </c>
      <c r="AX93" s="4">
        <f t="shared" si="197"/>
        <v>55.632997141935576</v>
      </c>
      <c r="AY93" t="str">
        <f t="shared" si="198"/>
        <v>LEGNO</v>
      </c>
      <c r="AZ93" s="4">
        <f t="shared" si="199"/>
        <v>65.144065264837948</v>
      </c>
      <c r="BA93" t="str">
        <f t="shared" si="200"/>
        <v xml:space="preserve"> CALCESTRUZZO</v>
      </c>
    </row>
    <row r="94" spans="23:53" ht="15" hidden="1" customHeight="1">
      <c r="W94" t="str">
        <f t="shared" si="190"/>
        <v>RTR_16</v>
      </c>
      <c r="X94" t="str">
        <f>_xlfn.CONCAT(W94,"_",Z94)</f>
        <v>RTR_16_800</v>
      </c>
      <c r="Y94" t="str">
        <f t="shared" si="224"/>
        <v>16</v>
      </c>
      <c r="Z94">
        <f t="shared" si="223"/>
        <v>800</v>
      </c>
      <c r="AA94">
        <f t="shared" si="191"/>
        <v>80</v>
      </c>
      <c r="AB94" s="22">
        <f t="shared" si="192"/>
        <v>551</v>
      </c>
      <c r="AC94" s="4">
        <f t="shared" si="87"/>
        <v>656</v>
      </c>
      <c r="AD94" s="4">
        <f>((15*(Y94^0.8)*AB94^0.9)/1000)*$AE$10/$AE$9</f>
        <v>29.928842145465477</v>
      </c>
      <c r="AE94" s="25">
        <f>((15*(Y94^0.8)*AC94^0.9)/1000)*$AE$10/$AE$9</f>
        <v>35.016032131489297</v>
      </c>
      <c r="AF94" s="39">
        <f>MAX(14*Y94,150)</f>
        <v>224</v>
      </c>
      <c r="AG94" s="15">
        <f>MAX(9*Y94,100)</f>
        <v>144</v>
      </c>
      <c r="AH94" s="42">
        <f>VLOOKUP(W94,$E$11:$I$14,4,FALSE)</f>
        <v>9</v>
      </c>
      <c r="AI94" s="4">
        <f>((Y94*PI())*AF94)*(AH94*$AE$18/$AE$17)/1000</f>
        <v>57.423287159375668</v>
      </c>
      <c r="AJ94" s="25">
        <f>((Y94*PI())*AG94)*(AH94*$AE$18/$AE$17)/1000</f>
        <v>36.914970316741503</v>
      </c>
      <c r="AK94" s="4"/>
      <c r="AL94" s="4">
        <f t="shared" si="27"/>
        <v>29.928842145465477</v>
      </c>
      <c r="AM94" t="str">
        <f t="shared" si="28"/>
        <v>LEGNO</v>
      </c>
      <c r="AN94" s="4">
        <f t="shared" si="29"/>
        <v>35.016032131489297</v>
      </c>
      <c r="AO94" t="str">
        <f t="shared" si="30"/>
        <v>LEGNO</v>
      </c>
      <c r="AR94" s="4">
        <f t="shared" si="193"/>
        <v>40.403936896378397</v>
      </c>
      <c r="AS94" t="str">
        <f t="shared" si="194"/>
        <v>LEGNO</v>
      </c>
      <c r="AT94" s="4">
        <f t="shared" si="195"/>
        <v>47.271643377510557</v>
      </c>
      <c r="AU94" t="str">
        <f t="shared" si="196"/>
        <v>LEGNO</v>
      </c>
      <c r="AX94" s="4">
        <f t="shared" si="197"/>
        <v>60.605905344567596</v>
      </c>
      <c r="AY94" t="str">
        <f t="shared" si="198"/>
        <v>LEGNO</v>
      </c>
      <c r="AZ94" s="4">
        <f t="shared" si="199"/>
        <v>65.144065264837948</v>
      </c>
      <c r="BA94" t="str">
        <f t="shared" si="200"/>
        <v xml:space="preserve"> CALCESTRUZZO</v>
      </c>
    </row>
    <row r="95" spans="23:53" ht="15" hidden="1" customHeight="1">
      <c r="W95" t="str">
        <f t="shared" si="190"/>
        <v>RTR_16</v>
      </c>
      <c r="X95" t="str">
        <f>_xlfn.CONCAT(W95,"_",Z95)</f>
        <v>RTR_16_850</v>
      </c>
      <c r="Y95" t="str">
        <f t="shared" si="224"/>
        <v>16</v>
      </c>
      <c r="Z95">
        <f t="shared" si="223"/>
        <v>850</v>
      </c>
      <c r="AA95">
        <f t="shared" si="191"/>
        <v>80</v>
      </c>
      <c r="AB95" s="22">
        <f t="shared" si="192"/>
        <v>601</v>
      </c>
      <c r="AC95" s="4">
        <f t="shared" si="87"/>
        <v>706</v>
      </c>
      <c r="AD95" s="4">
        <f>((15*(Y95^0.8)*AB95^0.9)/1000)*$AE$10/$AE$9</f>
        <v>32.362383607364499</v>
      </c>
      <c r="AE95" s="25">
        <f>((15*(Y95^0.8)*AC95^0.9)/1000)*$AE$10/$AE$9</f>
        <v>37.409138564065508</v>
      </c>
      <c r="AF95" s="39">
        <f>MAX(14*Y95,150)</f>
        <v>224</v>
      </c>
      <c r="AG95" s="15">
        <f>MAX(9*Y95,100)</f>
        <v>144</v>
      </c>
      <c r="AH95" s="42">
        <f>VLOOKUP(W95,$E$11:$I$14,4,FALSE)</f>
        <v>9</v>
      </c>
      <c r="AI95" s="4">
        <f>((Y95*PI())*AF95)*(AH95*$AE$18/$AE$17)/1000</f>
        <v>57.423287159375668</v>
      </c>
      <c r="AJ95" s="25">
        <f>((Y95*PI())*AG95)*(AH95*$AE$18/$AE$17)/1000</f>
        <v>36.914970316741503</v>
      </c>
      <c r="AK95" s="4"/>
      <c r="AL95" s="4">
        <f t="shared" si="27"/>
        <v>32.362383607364499</v>
      </c>
      <c r="AM95" t="str">
        <f t="shared" si="28"/>
        <v>LEGNO</v>
      </c>
      <c r="AN95" s="4">
        <f t="shared" si="29"/>
        <v>36.914970316741503</v>
      </c>
      <c r="AO95" t="str">
        <f t="shared" si="30"/>
        <v>CALCESTRUZZO</v>
      </c>
      <c r="AR95" s="4">
        <f t="shared" si="193"/>
        <v>43.689217869942077</v>
      </c>
      <c r="AS95" t="str">
        <f t="shared" si="194"/>
        <v>LEGNO</v>
      </c>
      <c r="AT95" s="4">
        <f t="shared" si="195"/>
        <v>50.50233706148844</v>
      </c>
      <c r="AU95" t="str">
        <f t="shared" si="196"/>
        <v>LEGNO</v>
      </c>
      <c r="AX95" s="4">
        <f t="shared" si="197"/>
        <v>65.533826804913105</v>
      </c>
      <c r="AY95" t="str">
        <f t="shared" si="198"/>
        <v>LEGNO</v>
      </c>
      <c r="AZ95" s="4">
        <f t="shared" si="199"/>
        <v>65.144065264837948</v>
      </c>
      <c r="BA95" t="str">
        <f t="shared" si="200"/>
        <v xml:space="preserve"> CALCESTRUZZO</v>
      </c>
    </row>
    <row r="96" spans="23:53" ht="15" hidden="1" customHeight="1">
      <c r="W96" t="str">
        <f t="shared" si="190"/>
        <v>RTR_16</v>
      </c>
      <c r="X96" t="str">
        <f t="shared" ref="X96:X97" si="225">_xlfn.CONCAT(W96,"_",Z96)</f>
        <v>RTR_16_900</v>
      </c>
      <c r="Y96" t="str">
        <f t="shared" si="224"/>
        <v>16</v>
      </c>
      <c r="Z96">
        <f t="shared" si="223"/>
        <v>900</v>
      </c>
      <c r="AA96">
        <f t="shared" si="191"/>
        <v>80</v>
      </c>
      <c r="AB96" s="22">
        <f t="shared" ref="AB96:AB97" si="226">Z96-AF96-25</f>
        <v>651</v>
      </c>
      <c r="AC96" s="4">
        <f t="shared" ref="AC96:AC97" si="227">Z96-AG96</f>
        <v>756</v>
      </c>
      <c r="AD96" s="4">
        <f t="shared" ref="AD96:AD97" si="228">((15*(Y96^0.8)*AB96^0.9)/1000)*$AE$10/$AE$9</f>
        <v>34.775738894522689</v>
      </c>
      <c r="AE96" s="25">
        <f t="shared" ref="AE96:AE97" si="229">((15*(Y96^0.8)*AC96^0.9)/1000)*$AE$10/$AE$9</f>
        <v>39.785341722536607</v>
      </c>
      <c r="AF96" s="39">
        <f t="shared" ref="AF96:AF97" si="230">MAX(14*Y96,150)</f>
        <v>224</v>
      </c>
      <c r="AG96" s="15">
        <f t="shared" ref="AG96:AG97" si="231">MAX(9*Y96,100)</f>
        <v>144</v>
      </c>
      <c r="AH96" s="42">
        <f t="shared" ref="AH96:AH97" si="232">VLOOKUP(W96,$E$11:$I$14,4,FALSE)</f>
        <v>9</v>
      </c>
      <c r="AI96" s="4">
        <f t="shared" ref="AI96:AI97" si="233">((Y96*PI())*AF96)*(AH96*$AE$18/$AE$17)/1000</f>
        <v>57.423287159375668</v>
      </c>
      <c r="AJ96" s="25">
        <f t="shared" ref="AJ96:AJ97" si="234">((Y96*PI())*AG96)*(AH96*$AE$18/$AE$17)/1000</f>
        <v>36.914970316741503</v>
      </c>
      <c r="AK96" s="4"/>
      <c r="AL96" s="4">
        <f t="shared" ref="AL96:AL97" si="235">MIN(AA96,AD96,AI96)</f>
        <v>34.775738894522689</v>
      </c>
      <c r="AM96" t="str">
        <f t="shared" ref="AM96:AM97" si="236">IF(AL96=AA96,"ACCIAIO",IF(AL96=AD96,"LEGNO",IF(AL96=AI96," CALCESTRUZZO")))</f>
        <v>LEGNO</v>
      </c>
      <c r="AN96" s="4">
        <f t="shared" ref="AN96:AN97" si="237">MIN(AA96,AE96,AJ96)</f>
        <v>36.914970316741503</v>
      </c>
      <c r="AO96" t="str">
        <f t="shared" ref="AO96:AO97" si="238">IF(AN96=AA96,"ACCIAIO",IF(AN96=AE96,"LEGNO",IF(AN96=AJ96,"CALCESTRUZZO")))</f>
        <v>CALCESTRUZZO</v>
      </c>
      <c r="AR96" s="4">
        <f t="shared" ref="AR96:AR97" si="239">MIN(AA96*$AE$14,AD96*$AE$9/$AE$10,AI96*$AE$17/$AE$18)</f>
        <v>46.947247507605631</v>
      </c>
      <c r="AS96" t="str">
        <f t="shared" ref="AS96:AS97" si="240">IF(AR96=AA96*$AE$14,"ACCIAIO",IF(AR96=AD96*$AE$9/$AE$10,"LEGNO",IF(AR96=AI96*$AE$17/$AE$18," CALCESTRUZZO")))</f>
        <v>LEGNO</v>
      </c>
      <c r="AT96" s="4">
        <f t="shared" ref="AT96:AT97" si="241">MIN(AA96*$AE$14,AE96*$AE$9/$AE$10,AJ96*$AE$17/$AE$18)</f>
        <v>53.710211325424424</v>
      </c>
      <c r="AU96" t="str">
        <f t="shared" ref="AU96:AU97" si="242">IF(AT96=AA96*$AE$14,"ACCIAIO",IF(AT96=AE96*$AE$9/$AE$10,"LEGNO",IF(AT96=AJ96*$AE$17/$AE$18," CALCESTRUZZO")))</f>
        <v>LEGNO</v>
      </c>
      <c r="AX96" s="4">
        <f t="shared" ref="AX96:AX97" si="243">MIN(AA96*$AE$14,$AZ$18*AD96*$AE$9/$AE$10,AI96*$AE$17/$AE$18)</f>
        <v>70.42087126140845</v>
      </c>
      <c r="AY96" t="str">
        <f t="shared" ref="AY96:AY97" si="244">IF(AX96=AA96*$AE$14,"ACCIAIO",IF(AX96=$AZ$18*AD96*$AE$9/$AE$10,"LEGNO",IF(AX96=AI96*$AE$17/$AE$18," CALCESTRUZZO")))</f>
        <v>LEGNO</v>
      </c>
      <c r="AZ96" s="4">
        <f t="shared" ref="AZ96:AZ97" si="245">MIN(AA96*$AE$14,$AZ$18*AE96*$AE$9/$AE$10,AJ96*$AE$17/$AE$18)</f>
        <v>65.144065264837948</v>
      </c>
      <c r="BA96" t="str">
        <f t="shared" ref="BA96:BA97" si="246">IF(AZ96=AA96*$AE$14,"ACCIAIO",IF(AZ96=$AZ$18*AE96*$AE$9/$AE$10,"LEGNO",IF(AZ96=AJ96*$AE$17/$AE$18," CALCESTRUZZO")))</f>
        <v xml:space="preserve"> CALCESTRUZZO</v>
      </c>
    </row>
    <row r="97" spans="23:53" ht="15" hidden="1" customHeight="1">
      <c r="W97" t="str">
        <f t="shared" si="190"/>
        <v>RTR_16</v>
      </c>
      <c r="X97" t="str">
        <f t="shared" si="225"/>
        <v>RTR_16_950</v>
      </c>
      <c r="Y97" t="str">
        <f t="shared" si="224"/>
        <v>16</v>
      </c>
      <c r="Z97">
        <f t="shared" si="223"/>
        <v>950</v>
      </c>
      <c r="AA97">
        <f t="shared" si="191"/>
        <v>80</v>
      </c>
      <c r="AB97" s="22">
        <f t="shared" si="226"/>
        <v>701</v>
      </c>
      <c r="AC97" s="4">
        <f t="shared" si="227"/>
        <v>806</v>
      </c>
      <c r="AD97" s="4">
        <f t="shared" si="228"/>
        <v>37.170610391554582</v>
      </c>
      <c r="AE97" s="25">
        <f t="shared" si="229"/>
        <v>42.145869134449946</v>
      </c>
      <c r="AF97" s="39">
        <f t="shared" si="230"/>
        <v>224</v>
      </c>
      <c r="AG97" s="15">
        <f t="shared" si="231"/>
        <v>144</v>
      </c>
      <c r="AH97" s="42">
        <f t="shared" si="232"/>
        <v>9</v>
      </c>
      <c r="AI97" s="4">
        <f t="shared" si="233"/>
        <v>57.423287159375668</v>
      </c>
      <c r="AJ97" s="25">
        <f t="shared" si="234"/>
        <v>36.914970316741503</v>
      </c>
      <c r="AK97" s="4"/>
      <c r="AL97" s="4">
        <f t="shared" si="235"/>
        <v>37.170610391554582</v>
      </c>
      <c r="AM97" t="str">
        <f t="shared" si="236"/>
        <v>LEGNO</v>
      </c>
      <c r="AN97" s="4">
        <f t="shared" si="237"/>
        <v>36.914970316741503</v>
      </c>
      <c r="AO97" t="str">
        <f t="shared" si="238"/>
        <v>CALCESTRUZZO</v>
      </c>
      <c r="AR97" s="4">
        <f t="shared" si="239"/>
        <v>50.18032402859869</v>
      </c>
      <c r="AS97" t="str">
        <f t="shared" si="240"/>
        <v>LEGNO</v>
      </c>
      <c r="AT97" s="4">
        <f t="shared" si="241"/>
        <v>56.896923331507431</v>
      </c>
      <c r="AU97" t="str">
        <f t="shared" si="242"/>
        <v>LEGNO</v>
      </c>
      <c r="AX97" s="4">
        <f t="shared" si="243"/>
        <v>75.270486042898028</v>
      </c>
      <c r="AY97" t="str">
        <f t="shared" si="244"/>
        <v>LEGNO</v>
      </c>
      <c r="AZ97" s="4">
        <f t="shared" si="245"/>
        <v>65.144065264837948</v>
      </c>
      <c r="BA97" t="str">
        <f t="shared" si="246"/>
        <v xml:space="preserve"> CALCESTRUZZO</v>
      </c>
    </row>
    <row r="98" spans="23:53" ht="15" hidden="1" customHeight="1" thickBot="1">
      <c r="W98" t="str">
        <f t="shared" si="190"/>
        <v>RTR_16</v>
      </c>
      <c r="X98" t="str">
        <f>_xlfn.CONCAT(W98,"_",Z98)</f>
        <v>RTR_16_1000</v>
      </c>
      <c r="Y98" t="str">
        <f t="shared" si="224"/>
        <v>16</v>
      </c>
      <c r="Z98">
        <f t="shared" si="223"/>
        <v>1000</v>
      </c>
      <c r="AA98">
        <f t="shared" si="191"/>
        <v>80</v>
      </c>
      <c r="AB98" s="23">
        <f t="shared" si="192"/>
        <v>751</v>
      </c>
      <c r="AC98" s="24">
        <f>Z98-AG98</f>
        <v>856</v>
      </c>
      <c r="AD98" s="24">
        <f>((15*(Y98^0.8)*AB98^0.9)/1000)*$AE$10/$AE$9</f>
        <v>39.548445709040841</v>
      </c>
      <c r="AE98" s="26">
        <f>((15*(Y98^0.8)*AC98^0.9)/1000)*$AE$10/$AE$9</f>
        <v>44.491788586057048</v>
      </c>
      <c r="AF98" s="40">
        <f>MAX(14*Y98,150)</f>
        <v>224</v>
      </c>
      <c r="AG98" s="41">
        <f>MAX(9*Y98,100)</f>
        <v>144</v>
      </c>
      <c r="AH98" s="43">
        <f>VLOOKUP(W98,$E$11:$I$14,4,FALSE)</f>
        <v>9</v>
      </c>
      <c r="AI98" s="24">
        <f>((Y98*PI())*AF98)*(AH98*$AE$18/$AE$17)/1000</f>
        <v>57.423287159375668</v>
      </c>
      <c r="AJ98" s="26">
        <f>((Y98*PI())*AG98)*(AH98*$AE$18/$AE$17)/1000</f>
        <v>36.914970316741503</v>
      </c>
      <c r="AK98" s="4"/>
      <c r="AL98" s="4">
        <f>MIN(AA98,AD98,AI98)</f>
        <v>39.548445709040841</v>
      </c>
      <c r="AM98" t="str">
        <f t="shared" si="28"/>
        <v>LEGNO</v>
      </c>
      <c r="AN98" s="4">
        <f t="shared" si="29"/>
        <v>36.914970316741503</v>
      </c>
      <c r="AO98" t="str">
        <f t="shared" si="30"/>
        <v>CALCESTRUZZO</v>
      </c>
      <c r="AR98" s="4">
        <f t="shared" si="193"/>
        <v>53.390401707205136</v>
      </c>
      <c r="AS98" t="str">
        <f t="shared" si="194"/>
        <v>LEGNO</v>
      </c>
      <c r="AT98" s="4">
        <f t="shared" si="195"/>
        <v>60.063914591177017</v>
      </c>
      <c r="AU98" t="str">
        <f t="shared" si="196"/>
        <v>LEGNO</v>
      </c>
      <c r="AX98" s="4">
        <f t="shared" si="197"/>
        <v>80.085602560807715</v>
      </c>
      <c r="AY98" t="str">
        <f t="shared" si="198"/>
        <v>LEGNO</v>
      </c>
      <c r="AZ98" s="4">
        <f t="shared" si="199"/>
        <v>65.144065264837948</v>
      </c>
      <c r="BA98" t="str">
        <f t="shared" si="200"/>
        <v xml:space="preserve"> CALCESTRUZZO</v>
      </c>
    </row>
  </sheetData>
  <sheetProtection algorithmName="SHA-512" hashValue="HSCkV+xoqbEFqil310jatPY2K93D9zvlDbZ/W5Fu+SVireVxCw7rL6w2Svz2IlkD6RWp/a43dCeS4Ny1sJjbJQ==" saltValue="aNvd6H7rXIiTsBfBY+k51A==" spinCount="100000" sheet="1" objects="1" scenarios="1" selectLockedCells="1"/>
  <mergeCells count="6">
    <mergeCell ref="B4:B5"/>
    <mergeCell ref="C52:E52"/>
    <mergeCell ref="G37:K38"/>
    <mergeCell ref="B37:F38"/>
    <mergeCell ref="B25:F26"/>
    <mergeCell ref="G25:K26"/>
  </mergeCells>
  <conditionalFormatting sqref="AL28:AP98 AR28:AU98 AY28:AY98 BA28:BA98">
    <cfRule type="containsText" dxfId="2" priority="10" operator="containsText" text="CALCESTRUZZO">
      <formula>NOT(ISERROR(SEARCH("CALCESTRUZZO",AL28)))</formula>
    </cfRule>
    <cfRule type="containsText" dxfId="1" priority="11" operator="containsText" text="ACCIAIO">
      <formula>NOT(ISERROR(SEARCH("ACCIAIO",AL28)))</formula>
    </cfRule>
    <cfRule type="containsText" dxfId="0" priority="12" operator="containsText" text="LEGNO">
      <formula>NOT(ISERROR(SEARCH("LEGNO",AL28)))</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D5791BAE553E54299A2D7AB66547121" ma:contentTypeVersion="22" ma:contentTypeDescription="Creare un nuovo documento." ma:contentTypeScope="" ma:versionID="4e38fffde744385c75888ed097f97e32">
  <xsd:schema xmlns:xsd="http://www.w3.org/2001/XMLSchema" xmlns:xs="http://www.w3.org/2001/XMLSchema" xmlns:p="http://schemas.microsoft.com/office/2006/metadata/properties" xmlns:ns2="4ac9669e-3ecc-4027-9c07-5729b88496eb" xmlns:ns3="f71a907e-b217-416b-8f3e-9f31b26bbae2" targetNamespace="http://schemas.microsoft.com/office/2006/metadata/properties" ma:root="true" ma:fieldsID="d74856f4d9d68c0cf840ab2cb833f615" ns2:_="" ns3:_="">
    <xsd:import namespace="4ac9669e-3ecc-4027-9c07-5729b88496eb"/>
    <xsd:import namespace="f71a907e-b217-416b-8f3e-9f31b26bbae2"/>
    <xsd:element name="properties">
      <xsd:complexType>
        <xsd:sequence>
          <xsd:element name="documentManagement">
            <xsd:complexType>
              <xsd:all>
                <xsd:element ref="ns2:SharedWithDetails" minOccurs="0"/>
                <xsd:element ref="ns2:SharedWithUser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Availability" minOccurs="0"/>
                <xsd:element ref="ns3:_Flow_SignoffStatus" minOccurs="0"/>
                <xsd:element ref="ns3:MediaServiceSearchPropertie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c9669e-3ecc-4027-9c07-5729b88496eb" elementFormDefault="qualified">
    <xsd:import namespace="http://schemas.microsoft.com/office/2006/documentManagement/types"/>
    <xsd:import namespace="http://schemas.microsoft.com/office/infopath/2007/PartnerControls"/>
    <xsd:element name="SharedWithDetails" ma:index="8" nillable="true" ma:displayName="Condiviso con dettagli" ma:internalName="SharedWithDetails" ma:readOnly="true">
      <xsd:simpleType>
        <xsd:restriction base="dms:Note">
          <xsd:maxLength value="255"/>
        </xsd:restriction>
      </xsd:simpleType>
    </xsd:element>
    <xsd:element name="SharedWithUsers" ma:index="9" nillable="true" ma:displayName="Condivis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 ma:index="23" nillable="true" ma:displayName="Taxonomy Catch All Column" ma:hidden="true" ma:list="{e8fe4e58-ca6d-4368-9ea0-f36a7ff00c10}" ma:internalName="TaxCatchAll" ma:showField="CatchAllData" ma:web="4ac9669e-3ecc-4027-9c07-5729b88496e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71a907e-b217-416b-8f3e-9f31b26bbae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9108ccb5-cea6-4716-bdbd-2f7028708f0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Availability" ma:index="25" nillable="true" ma:displayName="Availability" ma:description="versions &amp; edits" ma:format="Dropdown" ma:internalName="Availability">
      <xsd:simpleType>
        <xsd:restriction base="dms:Choice">
          <xsd:enumeration value="S1"/>
          <xsd:enumeration value="S2"/>
          <xsd:enumeration value="S3"/>
          <xsd:enumeration value="S4"/>
        </xsd:restriction>
      </xsd:simpleType>
    </xsd:element>
    <xsd:element name="_Flow_SignoffStatus" ma:index="26" nillable="true" ma:displayName="Sign-off status" ma:internalName="Sign_x002d_off_x0020_status">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Fase" ma:index="28" nillable="true" ma:displayName="Fase" ma:default="Preparazione" ma:format="Dropdown" ma:internalName="Fa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CDC"/>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f71a907e-b217-416b-8f3e-9f31b26bbae2" xsi:nil="true"/>
    <Fase xmlns="f71a907e-b217-416b-8f3e-9f31b26bbae2">Preparazione</Fase>
    <lcf76f155ced4ddcb4097134ff3c332f xmlns="f71a907e-b217-416b-8f3e-9f31b26bbae2">
      <Terms xmlns="http://schemas.microsoft.com/office/infopath/2007/PartnerControls"/>
    </lcf76f155ced4ddcb4097134ff3c332f>
    <TaxCatchAll xmlns="4ac9669e-3ecc-4027-9c07-5729b88496eb" xsi:nil="true"/>
    <Availability xmlns="f71a907e-b217-416b-8f3e-9f31b26bbae2" xsi:nil="true"/>
  </documentManagement>
</p:properties>
</file>

<file path=customXml/itemProps1.xml><?xml version="1.0" encoding="utf-8"?>
<ds:datastoreItem xmlns:ds="http://schemas.openxmlformats.org/officeDocument/2006/customXml" ds:itemID="{1262238E-FE96-403A-A03E-87A784A45B16}"/>
</file>

<file path=customXml/itemProps2.xml><?xml version="1.0" encoding="utf-8"?>
<ds:datastoreItem xmlns:ds="http://schemas.openxmlformats.org/officeDocument/2006/customXml" ds:itemID="{AD4752C7-6DA0-4086-B9EC-79CE5D58DB7C}"/>
</file>

<file path=customXml/itemProps3.xml><?xml version="1.0" encoding="utf-8"?>
<ds:datastoreItem xmlns:ds="http://schemas.openxmlformats.org/officeDocument/2006/customXml" ds:itemID="{C7A26E86-A748-4A04-BC31-E574599EDD3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11</vt:i4>
      </vt:variant>
      <vt:variant>
        <vt:lpstr>Intervalli denominati</vt:lpstr>
      </vt:variant>
      <vt:variant>
        <vt:i4>13</vt:i4>
      </vt:variant>
    </vt:vector>
  </HeadingPairs>
  <TitlesOfParts>
    <vt:vector size="24" baseType="lpstr">
      <vt:lpstr>ShortReport</vt:lpstr>
      <vt:lpstr>CompleteReport</vt:lpstr>
      <vt:lpstr>CONDITIONS</vt:lpstr>
      <vt:lpstr>GEOMETRY</vt:lpstr>
      <vt:lpstr>CALCOLI STS (slab to slab)</vt:lpstr>
      <vt:lpstr>CLT EDGE DISTANCE</vt:lpstr>
      <vt:lpstr>CONCRETE</vt:lpstr>
      <vt:lpstr>CLT</vt:lpstr>
      <vt:lpstr>SCREWS</vt:lpstr>
      <vt:lpstr>traduzioni</vt:lpstr>
      <vt:lpstr>Foglio1</vt:lpstr>
      <vt:lpstr>CompleteReport!Area_stampa</vt:lpstr>
      <vt:lpstr>GEOMETRY!Area_stampa</vt:lpstr>
      <vt:lpstr>ShortReport!Area_stampa</vt:lpstr>
      <vt:lpstr>L_11</vt:lpstr>
      <vt:lpstr>L_5</vt:lpstr>
      <vt:lpstr>L_7</vt:lpstr>
      <vt:lpstr>L_9</vt:lpstr>
      <vt:lpstr>LAYER</vt:lpstr>
      <vt:lpstr>RTR_16</vt:lpstr>
      <vt:lpstr>SCREWS</vt:lpstr>
      <vt:lpstr>VGS_11</vt:lpstr>
      <vt:lpstr>VGS_13</vt:lpstr>
      <vt:lpstr>VGS_9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Grossi</dc:creator>
  <cp:lastModifiedBy>Marco Greco</cp:lastModifiedBy>
  <cp:lastPrinted>2024-09-09T14:56:49Z</cp:lastPrinted>
  <dcterms:created xsi:type="dcterms:W3CDTF">2022-11-03T08:03:36Z</dcterms:created>
  <dcterms:modified xsi:type="dcterms:W3CDTF">2024-09-12T10:26:11Z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0x0101003D5791BAE553E54299A2D7AB66547121</vt:lpwstr>
  </property>
</Properties>
</file>