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C2C31BB9-C8DD-4D93-B143-466D2CA13559}"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<sst xmlns="http://schemas.openxmlformats.org/spreadsheetml/2006/main" count="2181" uniqueCount="1438">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</sst>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40"/>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41"/>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793"/>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794"/>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795"/>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796"/>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797"/>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798"/>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799"/>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800"/>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801"/>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802"/>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803"/>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804"/>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805"/>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806"/>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807"/>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808"/>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809"/>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810"/>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NOTAS</v>
      </c>
    </row>
    <row r="129" spans="1:20" ht="20.100000000000001" customHeight="1">
      <c r="A129" t="str">
        <f>traduzioni!A181</f>
        <v>Antes de la construcción, todos los cálculos deben ser comprobados y aprobados por el proyectista responsable.</v>
      </c>
    </row>
    <row r="130" spans="1:20" ht="15" customHeight="1">
      <c r="A130" t="str">
        <f>traduzioni!A182</f>
        <v>Los valores de resistencia mecánica y la geometría se refieren a la certificación del producto.</v>
      </c>
    </row>
    <row r="131" spans="1:20" ht="15" customHeight="1">
      <c r="A131" t="str">
        <f>traduzioni!A183</f>
        <v>La comprobación de la resistencia del sistema lado anclaje al hormigón deberá realizarse por separado siguiendo las indicaciones de ETA-22/0806 - Annex E1.</v>
      </c>
    </row>
    <row r="132" spans="1:20" ht="30" customHeight="1">
      <c r="A132" s="211" t="str">
        <f>traduzioni!A184</f>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ES</v>
      </c>
      <c r="D1" s="167" t="s">
        <v>358</v>
      </c>
      <c r="E1" s="167" t="s">
        <v>388</v>
      </c>
      <c r="F1" s="194" t="s">
        <v>671</v>
      </c>
      <c r="G1" s="194" t="s">
        <v>672</v>
      </c>
      <c r="H1" s="194" t="s">
        <v>673</v>
      </c>
      <c r="I1" s="194" t="s">
        <v>674</v>
      </c>
    </row>
    <row r="3" spans="1:9">
      <c r="A3" t="str">
        <f>IF($B$1=$D$1,D3,IF($B$1=$E$1,E3,IF($B$1=$F$1,F3,IF($B$1=$G$1,G3,IF($B$1=$H$1,H3,IF($B$1=$I$1,I3,"ERROR"))))))</f>
        <v>Idioma</v>
      </c>
      <c r="D3" t="s">
        <v>363</v>
      </c>
      <c r="E3" t="s">
        <v>484</v>
      </c>
      <c r="F3" s="156" t="s">
        <v>688</v>
      </c>
      <c r="G3" s="156" t="s">
        <v>689</v>
      </c>
      <c r="H3" s="156" t="s">
        <v>690</v>
      </c>
      <c r="I3" s="156" t="s">
        <v>689</v>
      </c>
    </row>
    <row r="4" spans="1:9">
      <c r="A4" t="str">
        <f t="shared" ref="A4:A67" si="0">IF($B$1=$D$1,D4,IF($B$1=$E$1,E4,IF($B$1=$F$1,F4,IF($B$1=$G$1,G4,IF($B$1=$H$1,H4,IF($B$1=$I$1,I4,"ERROR"))))))</f>
        <v>CÁLCULO TC FUSION</v>
      </c>
      <c r="D4" t="s">
        <v>431</v>
      </c>
      <c r="E4" t="s">
        <v>485</v>
      </c>
      <c r="F4" s="156" t="s">
        <v>691</v>
      </c>
      <c r="G4" s="156" t="s">
        <v>692</v>
      </c>
      <c r="H4" s="156" t="s">
        <v>693</v>
      </c>
      <c r="I4" s="156" t="s">
        <v>694</v>
      </c>
    </row>
    <row r="5" spans="1:9">
      <c r="A5" t="str">
        <f t="shared" si="0"/>
        <v xml:space="preserve">Información general </v>
      </c>
      <c r="D5" s="6" t="s">
        <v>362</v>
      </c>
      <c r="E5" s="6" t="s">
        <v>486</v>
      </c>
      <c r="F5" s="195" t="s">
        <v>695</v>
      </c>
      <c r="G5" s="195" t="s">
        <v>696</v>
      </c>
      <c r="H5" s="195" t="s">
        <v>697</v>
      </c>
      <c r="I5" s="195" t="s">
        <v>698</v>
      </c>
    </row>
    <row r="6" spans="1:9">
      <c r="A6" t="str">
        <f t="shared" si="0"/>
        <v>Fecha</v>
      </c>
      <c r="D6" t="s">
        <v>359</v>
      </c>
      <c r="E6" t="s">
        <v>487</v>
      </c>
      <c r="F6" s="156" t="s">
        <v>699</v>
      </c>
      <c r="G6" s="156" t="s">
        <v>700</v>
      </c>
      <c r="H6" s="156" t="s">
        <v>487</v>
      </c>
      <c r="I6" s="156" t="s">
        <v>359</v>
      </c>
    </row>
    <row r="7" spans="1:9">
      <c r="A7" t="str">
        <f t="shared" si="0"/>
        <v>Proyecto</v>
      </c>
      <c r="D7" t="s">
        <v>205</v>
      </c>
      <c r="E7" t="s">
        <v>488</v>
      </c>
      <c r="F7" s="156" t="s">
        <v>701</v>
      </c>
      <c r="G7" s="156" t="s">
        <v>702</v>
      </c>
      <c r="H7" s="156" t="s">
        <v>703</v>
      </c>
      <c r="I7" s="156" t="s">
        <v>704</v>
      </c>
    </row>
    <row r="8" spans="1:9">
      <c r="A8" t="str">
        <f t="shared" si="0"/>
        <v>Proyectista</v>
      </c>
      <c r="D8" t="s">
        <v>360</v>
      </c>
      <c r="E8" t="s">
        <v>489</v>
      </c>
      <c r="F8" s="156" t="s">
        <v>705</v>
      </c>
      <c r="G8" s="156" t="s">
        <v>706</v>
      </c>
      <c r="H8" s="156" t="s">
        <v>707</v>
      </c>
      <c r="I8" s="156" t="s">
        <v>708</v>
      </c>
    </row>
    <row r="9" spans="1:9">
      <c r="A9" t="str">
        <f t="shared" si="0"/>
        <v>Conexión n.º</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Número eficaz axial (no necesario)</v>
      </c>
      <c r="D11" t="s">
        <v>315</v>
      </c>
      <c r="E11" t="s">
        <v>492</v>
      </c>
      <c r="F11" s="156" t="s">
        <v>1355</v>
      </c>
      <c r="G11" s="156" t="s">
        <v>715</v>
      </c>
      <c r="H11" s="156" t="s">
        <v>716</v>
      </c>
      <c r="I11" s="156" t="s">
        <v>717</v>
      </c>
    </row>
    <row r="12" spans="1:9" ht="38.25">
      <c r="A12" t="str">
        <f t="shared" si="0"/>
        <v>Número eficaz al corte (no necesario)</v>
      </c>
      <c r="D12" t="s">
        <v>316</v>
      </c>
      <c r="E12" t="s">
        <v>493</v>
      </c>
      <c r="F12" s="156" t="s">
        <v>1356</v>
      </c>
      <c r="G12" s="156" t="s">
        <v>718</v>
      </c>
      <c r="H12" s="156" t="s">
        <v>719</v>
      </c>
      <c r="I12" s="156" t="s">
        <v>720</v>
      </c>
    </row>
    <row r="13" spans="1:9">
      <c r="A13" t="str">
        <f t="shared" si="0"/>
        <v>Solicitaciones</v>
      </c>
      <c r="D13" s="6" t="s">
        <v>420</v>
      </c>
      <c r="E13" s="6" t="s">
        <v>494</v>
      </c>
      <c r="F13" s="195" t="s">
        <v>721</v>
      </c>
      <c r="G13" s="195" t="s">
        <v>722</v>
      </c>
      <c r="H13" s="195" t="s">
        <v>723</v>
      </c>
      <c r="I13" s="195" t="s">
        <v>724</v>
      </c>
    </row>
    <row r="14" spans="1:9">
      <c r="A14" t="str">
        <f t="shared" si="0"/>
        <v xml:space="preserve">Duración de la carga </v>
      </c>
      <c r="C14" s="166"/>
      <c r="D14" s="166" t="s">
        <v>433</v>
      </c>
      <c r="E14" s="166" t="s">
        <v>495</v>
      </c>
      <c r="F14" s="196" t="s">
        <v>725</v>
      </c>
      <c r="G14" s="196" t="s">
        <v>726</v>
      </c>
      <c r="H14" s="196" t="s">
        <v>727</v>
      </c>
      <c r="I14" s="196" t="s">
        <v>728</v>
      </c>
    </row>
    <row r="15" spans="1:9" ht="26.25" thickBot="1">
      <c r="A15" t="str">
        <f t="shared" si="0"/>
        <v>Longitud de la unión</v>
      </c>
      <c r="C15" s="166"/>
      <c r="D15" s="166" t="s">
        <v>153</v>
      </c>
      <c r="E15" s="166" t="s">
        <v>496</v>
      </c>
      <c r="F15" s="196" t="s">
        <v>729</v>
      </c>
      <c r="G15" s="196" t="s">
        <v>730</v>
      </c>
      <c r="H15" s="196" t="s">
        <v>731</v>
      </c>
      <c r="I15" s="196" t="s">
        <v>732</v>
      </c>
    </row>
    <row r="16" spans="1:9" ht="25.5">
      <c r="A16" t="str">
        <f t="shared" si="0"/>
        <v>Acción axial paralela a la conexión</v>
      </c>
      <c r="C16" s="166"/>
      <c r="D16" s="208" t="s">
        <v>1399</v>
      </c>
      <c r="E16" s="202" t="s">
        <v>1411</v>
      </c>
      <c r="F16" s="203" t="s">
        <v>1434</v>
      </c>
      <c r="G16" s="203" t="s">
        <v>1410</v>
      </c>
      <c r="H16" s="203" t="s">
        <v>1409</v>
      </c>
      <c r="I16" s="204" t="s">
        <v>1408</v>
      </c>
    </row>
    <row r="17" spans="1:9" ht="25.5">
      <c r="A17" t="str">
        <f t="shared" si="0"/>
        <v>Corte perpendicular a la conexión, dirección-x</v>
      </c>
      <c r="C17" s="166"/>
      <c r="D17" s="209" t="s">
        <v>1398</v>
      </c>
      <c r="E17" s="166" t="s">
        <v>1412</v>
      </c>
      <c r="F17" s="196" t="s">
        <v>1436</v>
      </c>
      <c r="G17" s="196" t="s">
        <v>1413</v>
      </c>
      <c r="H17" s="196" t="s">
        <v>1414</v>
      </c>
      <c r="I17" s="205" t="s">
        <v>1415</v>
      </c>
    </row>
    <row r="18" spans="1:9" ht="25.5">
      <c r="A18" t="str">
        <f t="shared" si="0"/>
        <v>Corte perpendicular a la conexión, dirección-z</v>
      </c>
      <c r="C18" s="166"/>
      <c r="D18" s="209" t="s">
        <v>1427</v>
      </c>
      <c r="E18" s="166" t="s">
        <v>1428</v>
      </c>
      <c r="F18" s="196" t="s">
        <v>1437</v>
      </c>
      <c r="G18" s="196" t="s">
        <v>1429</v>
      </c>
      <c r="H18" s="196" t="s">
        <v>1430</v>
      </c>
      <c r="I18" s="205" t="s">
        <v>1431</v>
      </c>
    </row>
    <row r="19" spans="1:9" ht="25.5">
      <c r="A19" t="str">
        <f t="shared" si="0"/>
        <v>Momento flector paralelo a la conexión</v>
      </c>
      <c r="C19" s="166"/>
      <c r="D19" s="209" t="s">
        <v>1400</v>
      </c>
      <c r="E19" s="166" t="s">
        <v>1420</v>
      </c>
      <c r="F19" s="196" t="s">
        <v>1419</v>
      </c>
      <c r="G19" s="196" t="s">
        <v>1418</v>
      </c>
      <c r="H19" s="196" t="s">
        <v>1417</v>
      </c>
      <c r="I19" s="205" t="s">
        <v>1416</v>
      </c>
    </row>
    <row r="20" spans="1:9" ht="25.5">
      <c r="A20" t="str">
        <f t="shared" si="0"/>
        <v>Fibras inferiores en tracción</v>
      </c>
      <c r="C20" s="166"/>
      <c r="D20" s="209" t="s">
        <v>434</v>
      </c>
      <c r="E20" s="166" t="s">
        <v>497</v>
      </c>
      <c r="F20" s="196" t="s">
        <v>1357</v>
      </c>
      <c r="G20" s="196" t="s">
        <v>733</v>
      </c>
      <c r="H20" s="196" t="s">
        <v>734</v>
      </c>
      <c r="I20" s="205" t="s">
        <v>735</v>
      </c>
    </row>
    <row r="21" spans="1:9" ht="13.5" thickBot="1">
      <c r="A21" t="str">
        <f t="shared" si="0"/>
        <v>Momento perpendicular a la conexión, plano-xz</v>
      </c>
      <c r="C21" s="166"/>
      <c r="D21" s="210" t="s">
        <v>1407</v>
      </c>
      <c r="E21" s="206" t="s">
        <v>1421</v>
      </c>
      <c r="F21" s="206" t="s">
        <v>1435</v>
      </c>
      <c r="G21" s="206" t="s">
        <v>1422</v>
      </c>
      <c r="H21" s="206" t="s">
        <v>1423</v>
      </c>
      <c r="I21" s="207" t="s">
        <v>1424</v>
      </c>
    </row>
    <row r="22" spans="1:9">
      <c r="A22" t="str">
        <f t="shared" si="0"/>
        <v>+ tracción</v>
      </c>
      <c r="D22" s="151" t="s">
        <v>435</v>
      </c>
      <c r="E22" s="151" t="s">
        <v>498</v>
      </c>
      <c r="F22" s="197" t="s">
        <v>736</v>
      </c>
      <c r="G22" s="197" t="s">
        <v>737</v>
      </c>
      <c r="H22" s="197" t="s">
        <v>498</v>
      </c>
      <c r="I22" s="197" t="s">
        <v>738</v>
      </c>
    </row>
    <row r="23" spans="1:9">
      <c r="A23" t="str">
        <f t="shared" si="0"/>
        <v>- compresión</v>
      </c>
      <c r="D23" s="151" t="s">
        <v>436</v>
      </c>
      <c r="E23" s="151" t="s">
        <v>499</v>
      </c>
      <c r="F23" s="197" t="s">
        <v>739</v>
      </c>
      <c r="G23" s="197" t="s">
        <v>740</v>
      </c>
      <c r="H23" s="197" t="s">
        <v>499</v>
      </c>
      <c r="I23" s="197" t="s">
        <v>741</v>
      </c>
    </row>
    <row r="24" spans="1:9" ht="25.5">
      <c r="A24" t="str">
        <f t="shared" si="0"/>
        <v>+ fibras inferiores en tracción</v>
      </c>
      <c r="D24" s="151" t="s">
        <v>437</v>
      </c>
      <c r="E24" s="151" t="s">
        <v>500</v>
      </c>
      <c r="F24" s="197" t="s">
        <v>1358</v>
      </c>
      <c r="G24" s="197" t="s">
        <v>742</v>
      </c>
      <c r="H24" s="197" t="s">
        <v>743</v>
      </c>
      <c r="I24" s="197" t="s">
        <v>744</v>
      </c>
    </row>
    <row r="25" spans="1:9" ht="25.5">
      <c r="A25" t="str">
        <f t="shared" si="0"/>
        <v>- fibras superiores en tracción</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Larga</v>
      </c>
      <c r="D27" t="s">
        <v>79</v>
      </c>
      <c r="E27" t="s">
        <v>680</v>
      </c>
      <c r="F27" s="156" t="s">
        <v>749</v>
      </c>
      <c r="G27" s="156" t="s">
        <v>750</v>
      </c>
      <c r="H27" s="156" t="s">
        <v>751</v>
      </c>
      <c r="I27" s="156" t="s">
        <v>752</v>
      </c>
    </row>
    <row r="28" spans="1:9">
      <c r="A28" t="str">
        <f t="shared" si="0"/>
        <v>Media</v>
      </c>
      <c r="D28" t="s">
        <v>80</v>
      </c>
      <c r="E28" t="s">
        <v>681</v>
      </c>
      <c r="F28" s="156" t="s">
        <v>753</v>
      </c>
      <c r="G28" s="156" t="s">
        <v>80</v>
      </c>
      <c r="H28" s="156" t="s">
        <v>754</v>
      </c>
      <c r="I28" s="156" t="s">
        <v>755</v>
      </c>
    </row>
    <row r="29" spans="1:9">
      <c r="A29" t="str">
        <f t="shared" si="0"/>
        <v>Corta</v>
      </c>
      <c r="D29" t="s">
        <v>76</v>
      </c>
      <c r="E29" t="s">
        <v>682</v>
      </c>
      <c r="F29" s="156" t="s">
        <v>756</v>
      </c>
      <c r="G29" s="156" t="s">
        <v>757</v>
      </c>
      <c r="H29" s="156" t="s">
        <v>758</v>
      </c>
      <c r="I29" s="156" t="s">
        <v>759</v>
      </c>
    </row>
    <row r="30" spans="1:9">
      <c r="A30" t="str">
        <f t="shared" si="0"/>
        <v>Instantánea</v>
      </c>
      <c r="D30" t="s">
        <v>81</v>
      </c>
      <c r="E30" t="s">
        <v>683</v>
      </c>
      <c r="F30" s="156" t="s">
        <v>760</v>
      </c>
      <c r="G30" s="156" t="s">
        <v>761</v>
      </c>
      <c r="H30" s="156" t="s">
        <v>762</v>
      </c>
      <c r="I30" s="156" t="s">
        <v>763</v>
      </c>
    </row>
    <row r="31" spans="1:9">
      <c r="A31" t="str">
        <f t="shared" si="0"/>
        <v>Corta/Instantánea</v>
      </c>
      <c r="D31" t="s">
        <v>440</v>
      </c>
      <c r="E31" t="s">
        <v>684</v>
      </c>
      <c r="F31" s="156" t="s">
        <v>764</v>
      </c>
      <c r="G31" s="156" t="s">
        <v>765</v>
      </c>
      <c r="H31" s="156" t="s">
        <v>766</v>
      </c>
      <c r="I31" s="156" t="s">
        <v>767</v>
      </c>
    </row>
    <row r="32" spans="1:9">
      <c r="A32" t="str">
        <f t="shared" si="0"/>
        <v>Composición del panel</v>
      </c>
      <c r="D32" s="6" t="s">
        <v>0</v>
      </c>
      <c r="E32" s="6" t="s">
        <v>503</v>
      </c>
      <c r="F32" s="195" t="s">
        <v>768</v>
      </c>
      <c r="G32" s="195" t="s">
        <v>769</v>
      </c>
      <c r="H32" s="195" t="s">
        <v>770</v>
      </c>
      <c r="I32" s="195" t="s">
        <v>771</v>
      </c>
    </row>
    <row r="33" spans="1:9">
      <c r="A33" t="str">
        <f t="shared" si="0"/>
        <v>Clase</v>
      </c>
      <c r="D33" t="s">
        <v>82</v>
      </c>
      <c r="E33" t="s">
        <v>504</v>
      </c>
      <c r="F33" s="156" t="s">
        <v>772</v>
      </c>
      <c r="G33" s="156" t="s">
        <v>773</v>
      </c>
      <c r="H33" s="156" t="s">
        <v>82</v>
      </c>
      <c r="I33" s="156" t="s">
        <v>82</v>
      </c>
    </row>
    <row r="34" spans="1:9">
      <c r="A34" t="str">
        <f t="shared" si="0"/>
        <v>Número de capas</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Espesor</v>
      </c>
      <c r="D36" t="s">
        <v>57</v>
      </c>
      <c r="E36" t="s">
        <v>507</v>
      </c>
      <c r="F36" s="156" t="s">
        <v>779</v>
      </c>
      <c r="G36" s="156" t="s">
        <v>780</v>
      </c>
      <c r="H36" s="156" t="s">
        <v>781</v>
      </c>
      <c r="I36" s="156" t="s">
        <v>782</v>
      </c>
    </row>
    <row r="37" spans="1:9">
      <c r="A37" t="str">
        <f t="shared" si="0"/>
        <v xml:space="preserve">Orientación </v>
      </c>
      <c r="D37" t="s">
        <v>104</v>
      </c>
      <c r="E37" t="s">
        <v>508</v>
      </c>
      <c r="F37" s="156" t="s">
        <v>783</v>
      </c>
      <c r="G37" s="156" t="s">
        <v>784</v>
      </c>
      <c r="H37" s="156" t="s">
        <v>785</v>
      </c>
      <c r="I37" s="156" t="s">
        <v>786</v>
      </c>
    </row>
    <row r="38" spans="1:9" ht="51">
      <c r="A38" t="str">
        <f t="shared" si="0"/>
        <v>L-Fibras capas externas perpendiculares a la línea de unión</v>
      </c>
      <c r="D38" s="166" t="s">
        <v>441</v>
      </c>
      <c r="E38" s="166" t="s">
        <v>509</v>
      </c>
      <c r="F38" s="196" t="s">
        <v>787</v>
      </c>
      <c r="G38" s="196" t="s">
        <v>788</v>
      </c>
      <c r="H38" s="196" t="s">
        <v>789</v>
      </c>
      <c r="I38" s="196" t="s">
        <v>790</v>
      </c>
    </row>
    <row r="39" spans="1:9" ht="38.25">
      <c r="A39" t="str">
        <f t="shared" si="0"/>
        <v>T-Fibras capas externas paralelas a la línea de unión</v>
      </c>
      <c r="D39" s="166" t="s">
        <v>665</v>
      </c>
      <c r="E39" s="166" t="s">
        <v>666</v>
      </c>
      <c r="F39" s="196" t="s">
        <v>791</v>
      </c>
      <c r="G39" s="196" t="s">
        <v>792</v>
      </c>
      <c r="H39" s="196" t="s">
        <v>793</v>
      </c>
      <c r="I39" s="196" t="s">
        <v>794</v>
      </c>
    </row>
    <row r="40" spans="1:9">
      <c r="A40" t="str">
        <f t="shared" si="0"/>
        <v>Tornillos</v>
      </c>
      <c r="D40" s="6" t="s">
        <v>115</v>
      </c>
      <c r="E40" s="6" t="s">
        <v>510</v>
      </c>
      <c r="F40" s="195" t="s">
        <v>795</v>
      </c>
      <c r="G40" s="195" t="s">
        <v>796</v>
      </c>
      <c r="H40" s="195" t="s">
        <v>797</v>
      </c>
      <c r="I40" s="195" t="s">
        <v>798</v>
      </c>
    </row>
    <row r="41" spans="1:9">
      <c r="A41" t="str">
        <f t="shared" si="0"/>
        <v>Tipo de tornillo</v>
      </c>
      <c r="D41" t="s">
        <v>50</v>
      </c>
      <c r="E41" t="s">
        <v>511</v>
      </c>
      <c r="F41" s="156" t="s">
        <v>1360</v>
      </c>
      <c r="G41" s="156" t="s">
        <v>799</v>
      </c>
      <c r="H41" s="156" t="s">
        <v>800</v>
      </c>
      <c r="I41" s="156" t="s">
        <v>801</v>
      </c>
    </row>
    <row r="42" spans="1:9">
      <c r="A42" t="str">
        <f t="shared" si="0"/>
        <v>Diámetro</v>
      </c>
      <c r="D42" t="s">
        <v>364</v>
      </c>
      <c r="E42" t="s">
        <v>512</v>
      </c>
      <c r="F42" s="156" t="s">
        <v>802</v>
      </c>
      <c r="G42" s="156" t="s">
        <v>803</v>
      </c>
      <c r="H42" s="156" t="s">
        <v>804</v>
      </c>
      <c r="I42" s="156" t="s">
        <v>805</v>
      </c>
    </row>
    <row r="43" spans="1:9">
      <c r="A43" t="str">
        <f t="shared" si="0"/>
        <v xml:space="preserve">Longitud </v>
      </c>
      <c r="D43" t="s">
        <v>365</v>
      </c>
      <c r="E43" t="s">
        <v>513</v>
      </c>
      <c r="F43" s="156" t="s">
        <v>806</v>
      </c>
      <c r="G43" s="156" t="s">
        <v>807</v>
      </c>
      <c r="H43" s="156" t="s">
        <v>808</v>
      </c>
      <c r="I43" s="156" t="s">
        <v>809</v>
      </c>
    </row>
    <row r="44" spans="1:9">
      <c r="A44" t="str">
        <f t="shared" si="0"/>
        <v>Separación superior</v>
      </c>
      <c r="D44" t="s">
        <v>398</v>
      </c>
      <c r="E44" t="s">
        <v>514</v>
      </c>
      <c r="F44" s="156" t="s">
        <v>810</v>
      </c>
      <c r="G44" s="156" t="s">
        <v>811</v>
      </c>
      <c r="H44" s="156" t="s">
        <v>812</v>
      </c>
      <c r="I44" s="156" t="s">
        <v>813</v>
      </c>
    </row>
    <row r="45" spans="1:9">
      <c r="A45" t="str">
        <f t="shared" si="0"/>
        <v>Separación inferior</v>
      </c>
      <c r="D45" t="s">
        <v>399</v>
      </c>
      <c r="E45" t="s">
        <v>515</v>
      </c>
      <c r="F45" s="156" t="s">
        <v>814</v>
      </c>
      <c r="G45" s="156" t="s">
        <v>815</v>
      </c>
      <c r="H45" s="156" t="s">
        <v>816</v>
      </c>
      <c r="I45" s="156" t="s">
        <v>817</v>
      </c>
    </row>
    <row r="46" spans="1:9">
      <c r="A46" t="str">
        <f t="shared" si="0"/>
        <v>Tabla (Y/N)</v>
      </c>
      <c r="D46" s="166" t="s">
        <v>419</v>
      </c>
      <c r="E46" s="166" t="s">
        <v>516</v>
      </c>
      <c r="F46" s="196" t="s">
        <v>1361</v>
      </c>
      <c r="G46" s="196" t="s">
        <v>818</v>
      </c>
      <c r="H46" s="196" t="s">
        <v>819</v>
      </c>
      <c r="I46" s="196" t="s">
        <v>820</v>
      </c>
    </row>
    <row r="47" spans="1:9" ht="25.5">
      <c r="A47" t="str">
        <f t="shared" si="0"/>
        <v>Número de tornillos superiores/metro</v>
      </c>
      <c r="D47" t="s">
        <v>366</v>
      </c>
      <c r="E47" t="s">
        <v>517</v>
      </c>
      <c r="F47" s="156" t="s">
        <v>821</v>
      </c>
      <c r="G47" s="156" t="s">
        <v>822</v>
      </c>
      <c r="H47" s="156" t="s">
        <v>823</v>
      </c>
      <c r="I47" s="156" t="s">
        <v>824</v>
      </c>
    </row>
    <row r="48" spans="1:9" ht="25.5">
      <c r="A48" t="str">
        <f t="shared" si="0"/>
        <v>Número de tornillos inferiores/metro</v>
      </c>
      <c r="D48" t="s">
        <v>367</v>
      </c>
      <c r="E48" t="s">
        <v>518</v>
      </c>
      <c r="F48" s="156" t="s">
        <v>825</v>
      </c>
      <c r="G48" s="156" t="s">
        <v>826</v>
      </c>
      <c r="H48" s="156" t="s">
        <v>827</v>
      </c>
      <c r="I48" s="156" t="s">
        <v>828</v>
      </c>
    </row>
    <row r="49" spans="1:9" ht="25.5">
      <c r="A49" t="str">
        <f t="shared" si="0"/>
        <v>Longitud del anclaje mínima (hormigón)</v>
      </c>
      <c r="D49" t="s">
        <v>368</v>
      </c>
      <c r="E49" t="s">
        <v>519</v>
      </c>
      <c r="F49" s="156" t="s">
        <v>1362</v>
      </c>
      <c r="G49" s="156" t="s">
        <v>829</v>
      </c>
      <c r="H49" s="156" t="s">
        <v>830</v>
      </c>
      <c r="I49" s="156" t="s">
        <v>831</v>
      </c>
    </row>
    <row r="50" spans="1:9" ht="38.25">
      <c r="A50" t="str">
        <f t="shared" si="0"/>
        <v>Longitud de superposición mínima (hormigón)</v>
      </c>
      <c r="D50" t="s">
        <v>369</v>
      </c>
      <c r="E50" t="s">
        <v>520</v>
      </c>
      <c r="F50" s="156" t="s">
        <v>1363</v>
      </c>
      <c r="G50" s="156" t="s">
        <v>832</v>
      </c>
      <c r="H50" s="156" t="s">
        <v>833</v>
      </c>
      <c r="I50" s="156" t="s">
        <v>834</v>
      </c>
    </row>
    <row r="51" spans="1:9" ht="25.5">
      <c r="A51" t="str">
        <f t="shared" si="0"/>
        <v>Longitud de penetración mínima (timber)</v>
      </c>
      <c r="D51" t="s">
        <v>370</v>
      </c>
      <c r="E51" t="s">
        <v>521</v>
      </c>
      <c r="F51" s="156" t="s">
        <v>1364</v>
      </c>
      <c r="G51" s="156" t="s">
        <v>835</v>
      </c>
      <c r="H51" s="156" t="s">
        <v>836</v>
      </c>
      <c r="I51" s="156" t="s">
        <v>837</v>
      </c>
    </row>
    <row r="52" spans="1:9">
      <c r="A52" t="str">
        <f t="shared" si="0"/>
        <v>Distancia borde a4t</v>
      </c>
      <c r="D52" t="s">
        <v>328</v>
      </c>
      <c r="E52" t="s">
        <v>522</v>
      </c>
      <c r="F52" s="156" t="s">
        <v>838</v>
      </c>
      <c r="G52" s="156" t="s">
        <v>839</v>
      </c>
      <c r="H52" s="156" t="s">
        <v>840</v>
      </c>
      <c r="I52" s="156" t="s">
        <v>841</v>
      </c>
    </row>
    <row r="53" spans="1:9" ht="25.5">
      <c r="A53" t="str">
        <f t="shared" si="0"/>
        <v>Distancia mínima borde a4t</v>
      </c>
      <c r="D53" t="s">
        <v>61</v>
      </c>
      <c r="E53" t="s">
        <v>523</v>
      </c>
      <c r="F53" s="156" t="s">
        <v>842</v>
      </c>
      <c r="G53" s="156" t="s">
        <v>843</v>
      </c>
      <c r="H53" s="156" t="s">
        <v>844</v>
      </c>
      <c r="I53" s="156" t="s">
        <v>845</v>
      </c>
    </row>
    <row r="54" spans="1:9">
      <c r="A54" t="str">
        <f t="shared" si="0"/>
        <v>Hormigón</v>
      </c>
      <c r="D54" s="6" t="s">
        <v>23</v>
      </c>
      <c r="E54" s="6" t="s">
        <v>327</v>
      </c>
      <c r="F54" s="195" t="s">
        <v>846</v>
      </c>
      <c r="G54" s="195" t="s">
        <v>847</v>
      </c>
      <c r="H54" s="195" t="s">
        <v>848</v>
      </c>
      <c r="I54" s="195" t="s">
        <v>849</v>
      </c>
    </row>
    <row r="55" spans="1:9">
      <c r="A55" t="str">
        <f t="shared" si="0"/>
        <v>Clase de hormigón</v>
      </c>
      <c r="D55" s="166" t="s">
        <v>63</v>
      </c>
      <c r="E55" s="166" t="s">
        <v>524</v>
      </c>
      <c r="F55" s="196" t="s">
        <v>850</v>
      </c>
      <c r="G55" s="196" t="s">
        <v>851</v>
      </c>
      <c r="H55" s="196" t="s">
        <v>852</v>
      </c>
      <c r="I55" s="196" t="s">
        <v>853</v>
      </c>
    </row>
    <row r="56" spans="1:9">
      <c r="A56" t="str">
        <f t="shared" si="0"/>
        <v>Diámetro estribos</v>
      </c>
      <c r="D56" s="166" t="s">
        <v>24</v>
      </c>
      <c r="E56" s="166" t="s">
        <v>644</v>
      </c>
      <c r="F56" s="196" t="s">
        <v>854</v>
      </c>
      <c r="G56" s="196" t="s">
        <v>855</v>
      </c>
      <c r="H56" s="196" t="s">
        <v>856</v>
      </c>
      <c r="I56" s="196" t="s">
        <v>857</v>
      </c>
    </row>
    <row r="57" spans="1:9" ht="25.5">
      <c r="A57" t="str">
        <f t="shared" si="0"/>
        <v>Diámetro barras longitudinales</v>
      </c>
      <c r="D57" s="166" t="s">
        <v>400</v>
      </c>
      <c r="E57" s="166" t="s">
        <v>525</v>
      </c>
      <c r="F57" s="196" t="s">
        <v>858</v>
      </c>
      <c r="G57" s="196" t="s">
        <v>859</v>
      </c>
      <c r="H57" s="196" t="s">
        <v>860</v>
      </c>
      <c r="I57" s="196" t="s">
        <v>861</v>
      </c>
    </row>
    <row r="58" spans="1:9" ht="25.5">
      <c r="A58" t="str">
        <f t="shared" si="0"/>
        <v>Diámetro áridos (*)</v>
      </c>
      <c r="D58" s="166" t="s">
        <v>669</v>
      </c>
      <c r="E58" s="166" t="s">
        <v>670</v>
      </c>
      <c r="F58" s="196" t="s">
        <v>1365</v>
      </c>
      <c r="G58" s="196" t="s">
        <v>862</v>
      </c>
      <c r="H58" s="196" t="s">
        <v>863</v>
      </c>
      <c r="I58" s="196" t="s">
        <v>864</v>
      </c>
    </row>
    <row r="59" spans="1:9" ht="25.5">
      <c r="A59" t="str">
        <f t="shared" si="0"/>
        <v>Clase de exposición ambiental</v>
      </c>
      <c r="D59" s="166" t="s">
        <v>384</v>
      </c>
      <c r="E59" s="166" t="s">
        <v>526</v>
      </c>
      <c r="F59" s="196" t="s">
        <v>865</v>
      </c>
      <c r="G59" s="196" t="s">
        <v>866</v>
      </c>
      <c r="H59" s="196" t="s">
        <v>867</v>
      </c>
      <c r="I59" s="196" t="s">
        <v>868</v>
      </c>
    </row>
    <row r="60" spans="1:9" ht="25.5">
      <c r="A60" t="str">
        <f t="shared" si="0"/>
        <v>Recubrimiento mínimo estribos</v>
      </c>
      <c r="D60" s="166" t="s">
        <v>401</v>
      </c>
      <c r="E60" s="166" t="s">
        <v>645</v>
      </c>
      <c r="F60" s="196" t="s">
        <v>869</v>
      </c>
      <c r="G60" s="196" t="s">
        <v>870</v>
      </c>
      <c r="H60" s="196" t="s">
        <v>871</v>
      </c>
      <c r="I60" s="196" t="s">
        <v>872</v>
      </c>
    </row>
    <row r="61" spans="1:9" ht="25.5">
      <c r="A61" t="str">
        <f t="shared" si="0"/>
        <v>Recubrimiento mínimo barras longitudinales</v>
      </c>
      <c r="D61" s="166" t="s">
        <v>402</v>
      </c>
      <c r="E61" s="166" t="s">
        <v>527</v>
      </c>
      <c r="F61" s="196" t="s">
        <v>1366</v>
      </c>
      <c r="G61" s="196" t="s">
        <v>873</v>
      </c>
      <c r="H61" s="196" t="s">
        <v>874</v>
      </c>
      <c r="I61" s="196" t="s">
        <v>875</v>
      </c>
    </row>
    <row r="62" spans="1:9" ht="25.5">
      <c r="A62" t="str">
        <f t="shared" si="0"/>
        <v>Distancia eje barras longitudinales</v>
      </c>
      <c r="D62" s="166" t="s">
        <v>49</v>
      </c>
      <c r="E62" s="166" t="s">
        <v>528</v>
      </c>
      <c r="F62" s="196" t="s">
        <v>876</v>
      </c>
      <c r="G62" s="196" t="s">
        <v>877</v>
      </c>
      <c r="H62" s="196" t="s">
        <v>878</v>
      </c>
      <c r="I62" s="196" t="s">
        <v>879</v>
      </c>
    </row>
    <row r="63" spans="1:9">
      <c r="A63" t="str">
        <f t="shared" si="0"/>
        <v>Anchura mínima dala</v>
      </c>
      <c r="D63" t="s">
        <v>403</v>
      </c>
      <c r="E63" t="s">
        <v>529</v>
      </c>
      <c r="F63" s="156" t="s">
        <v>880</v>
      </c>
      <c r="G63" s="156" t="s">
        <v>881</v>
      </c>
      <c r="H63" s="156" t="s">
        <v>882</v>
      </c>
      <c r="I63" s="156" t="s">
        <v>883</v>
      </c>
    </row>
    <row r="64" spans="1:9">
      <c r="A64" t="str">
        <f t="shared" si="0"/>
        <v>Resistencias</v>
      </c>
      <c r="D64" s="6" t="s">
        <v>106</v>
      </c>
      <c r="E64" s="6" t="s">
        <v>530</v>
      </c>
      <c r="F64" s="195" t="s">
        <v>884</v>
      </c>
      <c r="G64" s="195" t="s">
        <v>885</v>
      </c>
      <c r="H64" s="195" t="s">
        <v>886</v>
      </c>
      <c r="I64" s="195" t="s">
        <v>887</v>
      </c>
    </row>
    <row r="65" spans="1:9" ht="38.25">
      <c r="A65" t="str">
        <f t="shared" si="0"/>
        <v>Resistencia a la compresión madera (diseño)</v>
      </c>
      <c r="D65" t="s">
        <v>107</v>
      </c>
      <c r="E65" t="s">
        <v>531</v>
      </c>
      <c r="F65" s="156" t="s">
        <v>888</v>
      </c>
      <c r="G65" s="156" t="s">
        <v>889</v>
      </c>
      <c r="H65" s="156" t="s">
        <v>890</v>
      </c>
      <c r="I65" s="156" t="s">
        <v>891</v>
      </c>
    </row>
    <row r="66" spans="1:9" ht="38.25">
      <c r="A66" t="str">
        <f t="shared" si="0"/>
        <v>Resistencia a la compresión hormigón (diseño)</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Tensión de adhesión</v>
      </c>
      <c r="D68" t="s">
        <v>101</v>
      </c>
      <c r="E68" t="s">
        <v>534</v>
      </c>
      <c r="F68" s="156" t="s">
        <v>896</v>
      </c>
      <c r="G68" s="156" t="s">
        <v>897</v>
      </c>
      <c r="H68" s="156" t="s">
        <v>898</v>
      </c>
      <c r="I68" s="156" t="s">
        <v>899</v>
      </c>
    </row>
    <row r="69" spans="1:9">
      <c r="A69" t="str">
        <f t="shared" si="1"/>
        <v>Geometría efectiva</v>
      </c>
      <c r="D69" s="6" t="s">
        <v>52</v>
      </c>
      <c r="E69" s="6" t="s">
        <v>535</v>
      </c>
      <c r="F69" s="195" t="s">
        <v>900</v>
      </c>
      <c r="G69" s="195" t="s">
        <v>901</v>
      </c>
      <c r="H69" s="195" t="s">
        <v>902</v>
      </c>
      <c r="I69" s="195" t="s">
        <v>903</v>
      </c>
    </row>
    <row r="70" spans="1:9" ht="25.5">
      <c r="A70" t="str">
        <f t="shared" si="1"/>
        <v>Distancia eje barras longitudinales</v>
      </c>
      <c r="D70" t="s">
        <v>49</v>
      </c>
      <c r="E70" t="s">
        <v>536</v>
      </c>
      <c r="F70" s="156" t="s">
        <v>876</v>
      </c>
      <c r="G70" s="156" t="s">
        <v>877</v>
      </c>
      <c r="H70" s="156" t="s">
        <v>878</v>
      </c>
      <c r="I70" s="156" t="s">
        <v>879</v>
      </c>
    </row>
    <row r="71" spans="1:9" ht="25.5">
      <c r="A71" t="str">
        <f t="shared" si="1"/>
        <v>Longitud efectiva dala</v>
      </c>
      <c r="D71" s="166" t="s">
        <v>404</v>
      </c>
      <c r="E71" s="166" t="s">
        <v>537</v>
      </c>
      <c r="F71" s="196" t="s">
        <v>1367</v>
      </c>
      <c r="G71" s="196" t="s">
        <v>904</v>
      </c>
      <c r="H71" s="196" t="s">
        <v>905</v>
      </c>
      <c r="I71" s="196" t="s">
        <v>906</v>
      </c>
    </row>
    <row r="72" spans="1:9" ht="25.5">
      <c r="A72" t="str">
        <f t="shared" si="1"/>
        <v>Longitud de superposición</v>
      </c>
      <c r="D72" s="166" t="s">
        <v>56</v>
      </c>
      <c r="E72" s="166" t="s">
        <v>538</v>
      </c>
      <c r="F72" s="196" t="s">
        <v>907</v>
      </c>
      <c r="G72" s="196" t="s">
        <v>908</v>
      </c>
      <c r="H72" s="196" t="s">
        <v>909</v>
      </c>
      <c r="I72" s="196" t="s">
        <v>910</v>
      </c>
    </row>
    <row r="73" spans="1:9" ht="25.5">
      <c r="A73" t="str">
        <f t="shared" si="1"/>
        <v>Longitud de anclaje</v>
      </c>
      <c r="D73" s="166" t="s">
        <v>331</v>
      </c>
      <c r="E73" s="166" t="s">
        <v>539</v>
      </c>
      <c r="F73" s="196" t="s">
        <v>911</v>
      </c>
      <c r="G73" s="196" t="s">
        <v>912</v>
      </c>
      <c r="H73" s="196" t="s">
        <v>913</v>
      </c>
      <c r="I73" s="196" t="s">
        <v>914</v>
      </c>
    </row>
    <row r="74" spans="1:9" ht="38.25">
      <c r="A74" t="str">
        <f t="shared" si="1"/>
        <v>Distancia desde el borde real tornillos</v>
      </c>
      <c r="D74" s="166" t="s">
        <v>60</v>
      </c>
      <c r="E74" s="166" t="s">
        <v>620</v>
      </c>
      <c r="F74" s="196" t="s">
        <v>1368</v>
      </c>
      <c r="G74" s="196" t="s">
        <v>915</v>
      </c>
      <c r="H74" s="196" t="s">
        <v>916</v>
      </c>
      <c r="I74" s="196" t="s">
        <v>917</v>
      </c>
    </row>
    <row r="75" spans="1:9" ht="38.25">
      <c r="A75" t="str">
        <f t="shared" si="1"/>
        <v>Comprobación coherencia posición tornillos/barras</v>
      </c>
      <c r="D75" s="166" t="s">
        <v>329</v>
      </c>
      <c r="E75" s="166" t="s">
        <v>540</v>
      </c>
      <c r="F75" s="196" t="s">
        <v>1369</v>
      </c>
      <c r="G75" s="196" t="s">
        <v>918</v>
      </c>
      <c r="H75" s="196" t="s">
        <v>919</v>
      </c>
      <c r="I75" s="196" t="s">
        <v>920</v>
      </c>
    </row>
    <row r="76" spans="1:9" ht="25.5">
      <c r="A76" t="str">
        <f t="shared" si="1"/>
        <v>Distancia tornillos borde superior</v>
      </c>
      <c r="D76" s="166" t="s">
        <v>247</v>
      </c>
      <c r="E76" s="166" t="s">
        <v>541</v>
      </c>
      <c r="F76" s="196" t="s">
        <v>921</v>
      </c>
      <c r="G76" s="196" t="s">
        <v>922</v>
      </c>
      <c r="H76" s="196" t="s">
        <v>923</v>
      </c>
      <c r="I76" s="196" t="s">
        <v>924</v>
      </c>
    </row>
    <row r="77" spans="1:9" ht="38.25">
      <c r="A77" t="str">
        <f t="shared" si="1"/>
        <v>Longitud rosca tornillo HORM (*)</v>
      </c>
      <c r="D77" t="s">
        <v>372</v>
      </c>
      <c r="E77" t="s">
        <v>542</v>
      </c>
      <c r="F77" s="156" t="s">
        <v>925</v>
      </c>
      <c r="G77" s="156" t="s">
        <v>926</v>
      </c>
      <c r="H77" s="156" t="s">
        <v>927</v>
      </c>
      <c r="I77" s="156" t="s">
        <v>928</v>
      </c>
    </row>
    <row r="78" spans="1:9" ht="25.5">
      <c r="A78" t="str">
        <f t="shared" si="1"/>
        <v>Longitud rosca tornillo Madera</v>
      </c>
      <c r="D78" t="s">
        <v>86</v>
      </c>
      <c r="E78" t="s">
        <v>543</v>
      </c>
      <c r="F78" s="156" t="s">
        <v>929</v>
      </c>
      <c r="G78" s="156" t="s">
        <v>930</v>
      </c>
      <c r="H78" s="156" t="s">
        <v>931</v>
      </c>
      <c r="I78" s="156" t="s">
        <v>932</v>
      </c>
    </row>
    <row r="79" spans="1:9" ht="38.25">
      <c r="A79" t="str">
        <f t="shared" si="1"/>
        <v>Longitud eficaz rosca tornillo Madera</v>
      </c>
      <c r="D79" t="s">
        <v>85</v>
      </c>
      <c r="E79" t="s">
        <v>544</v>
      </c>
      <c r="F79" s="156" t="s">
        <v>933</v>
      </c>
      <c r="G79" s="156" t="s">
        <v>934</v>
      </c>
      <c r="H79" s="156" t="s">
        <v>935</v>
      </c>
      <c r="I79" s="156" t="s">
        <v>936</v>
      </c>
    </row>
    <row r="80" spans="1:9" ht="38.25">
      <c r="A80" t="str">
        <f t="shared" si="1"/>
        <v>Distancia entre tornillos superiores/inferiores</v>
      </c>
      <c r="D80" t="s">
        <v>406</v>
      </c>
      <c r="E80" t="s">
        <v>545</v>
      </c>
      <c r="F80" s="156" t="s">
        <v>937</v>
      </c>
      <c r="G80" s="156" t="s">
        <v>938</v>
      </c>
      <c r="H80" s="156" t="s">
        <v>939</v>
      </c>
      <c r="I80" s="156" t="s">
        <v>940</v>
      </c>
    </row>
    <row r="81" spans="1:9" ht="76.5">
      <c r="A81" t="str">
        <f t="shared" si="1"/>
        <v>(*) Se supone que el tornillo penetra en la dala hasta la barra de armadura opuesta</v>
      </c>
      <c r="D81" s="166" t="s">
        <v>371</v>
      </c>
      <c r="E81" s="166" t="s">
        <v>546</v>
      </c>
      <c r="F81" s="196" t="s">
        <v>1370</v>
      </c>
      <c r="G81" s="196" t="s">
        <v>941</v>
      </c>
      <c r="H81" s="196" t="s">
        <v>942</v>
      </c>
      <c r="I81" s="196" t="s">
        <v>943</v>
      </c>
    </row>
    <row r="82" spans="1:9">
      <c r="A82" t="str">
        <f t="shared" si="1"/>
        <v>Comprobación</v>
      </c>
      <c r="D82" s="6" t="s">
        <v>442</v>
      </c>
      <c r="E82" s="6" t="s">
        <v>547</v>
      </c>
      <c r="F82" s="195" t="s">
        <v>944</v>
      </c>
      <c r="G82" s="195" t="s">
        <v>945</v>
      </c>
      <c r="H82" s="195" t="s">
        <v>946</v>
      </c>
      <c r="I82" s="195" t="s">
        <v>947</v>
      </c>
    </row>
    <row r="83" spans="1:9" ht="25.5">
      <c r="A83" t="str">
        <f t="shared" si="1"/>
        <v>Acción máxima en un solo tornillo</v>
      </c>
      <c r="D83" t="s">
        <v>425</v>
      </c>
      <c r="E83" t="s">
        <v>548</v>
      </c>
      <c r="F83" s="156" t="s">
        <v>948</v>
      </c>
      <c r="G83" s="156" t="s">
        <v>949</v>
      </c>
      <c r="H83" s="156" t="s">
        <v>950</v>
      </c>
      <c r="I83" s="156" t="s">
        <v>951</v>
      </c>
    </row>
    <row r="84" spans="1:9" ht="38.25">
      <c r="A84" t="str">
        <f t="shared" si="1"/>
        <v>Resistencia axial un solo tornillo lado madera/acero</v>
      </c>
      <c r="D84" t="s">
        <v>415</v>
      </c>
      <c r="E84" t="s">
        <v>549</v>
      </c>
      <c r="F84" s="156" t="s">
        <v>952</v>
      </c>
      <c r="G84" s="156" t="s">
        <v>953</v>
      </c>
      <c r="H84" s="156" t="s">
        <v>954</v>
      </c>
      <c r="I84" s="156" t="s">
        <v>955</v>
      </c>
    </row>
    <row r="85" spans="1:9" ht="25.5">
      <c r="A85" t="str">
        <f t="shared" si="1"/>
        <v xml:space="preserve">Coeficiente de trabajo esfuerzo axial </v>
      </c>
      <c r="D85" t="s">
        <v>171</v>
      </c>
      <c r="E85" t="s">
        <v>550</v>
      </c>
      <c r="F85" s="156" t="s">
        <v>956</v>
      </c>
      <c r="G85" s="156" t="s">
        <v>957</v>
      </c>
      <c r="H85" s="156" t="s">
        <v>958</v>
      </c>
      <c r="I85" s="156" t="s">
        <v>959</v>
      </c>
    </row>
    <row r="86" spans="1:9" ht="25.5">
      <c r="A86" t="str">
        <f t="shared" si="1"/>
        <v>Máxima acción de corte</v>
      </c>
      <c r="D86" t="s">
        <v>134</v>
      </c>
      <c r="E86" t="s">
        <v>551</v>
      </c>
      <c r="F86" s="156" t="s">
        <v>960</v>
      </c>
      <c r="G86" s="156" t="s">
        <v>961</v>
      </c>
      <c r="H86" s="156" t="s">
        <v>962</v>
      </c>
      <c r="I86" s="156" t="s">
        <v>963</v>
      </c>
    </row>
    <row r="87" spans="1:9" ht="38.25">
      <c r="A87" t="str">
        <f t="shared" si="1"/>
        <v xml:space="preserve">Resistencia al corte de un solo tornillo </v>
      </c>
      <c r="D87" t="s">
        <v>223</v>
      </c>
      <c r="E87" t="s">
        <v>552</v>
      </c>
      <c r="F87" s="156" t="s">
        <v>964</v>
      </c>
      <c r="G87" s="156" t="s">
        <v>965</v>
      </c>
      <c r="H87" s="156" t="s">
        <v>966</v>
      </c>
      <c r="I87" s="156" t="s">
        <v>967</v>
      </c>
    </row>
    <row r="88" spans="1:9" ht="25.5">
      <c r="A88" t="str">
        <f t="shared" si="1"/>
        <v xml:space="preserve">Coeficiente de trabajo esfuerzo corte </v>
      </c>
      <c r="D88" t="s">
        <v>172</v>
      </c>
      <c r="E88" t="s">
        <v>553</v>
      </c>
      <c r="F88" s="156" t="s">
        <v>968</v>
      </c>
      <c r="G88" s="156" t="s">
        <v>969</v>
      </c>
      <c r="H88" s="156" t="s">
        <v>970</v>
      </c>
      <c r="I88" s="156" t="s">
        <v>971</v>
      </c>
    </row>
    <row r="89" spans="1:9" ht="38.25">
      <c r="A89" t="str">
        <f t="shared" si="1"/>
        <v xml:space="preserve">Coeficiente de trabajo combinación corte tracción </v>
      </c>
      <c r="D89" t="s">
        <v>173</v>
      </c>
      <c r="E89" t="s">
        <v>554</v>
      </c>
      <c r="F89" s="156" t="s">
        <v>972</v>
      </c>
      <c r="G89" s="156" t="s">
        <v>973</v>
      </c>
      <c r="H89" s="156" t="s">
        <v>974</v>
      </c>
      <c r="I89" s="156" t="s">
        <v>975</v>
      </c>
    </row>
    <row r="90" spans="1:9" ht="38.25">
      <c r="A90" t="str">
        <f t="shared" si="1"/>
        <v>Comprobación anclaje lado hormigón</v>
      </c>
      <c r="D90" s="6" t="s">
        <v>98</v>
      </c>
      <c r="E90" s="6" t="s">
        <v>555</v>
      </c>
      <c r="F90" s="195" t="s">
        <v>976</v>
      </c>
      <c r="G90" s="195" t="s">
        <v>977</v>
      </c>
      <c r="H90" s="195" t="s">
        <v>978</v>
      </c>
      <c r="I90" s="195" t="s">
        <v>979</v>
      </c>
    </row>
    <row r="91" spans="1:9">
      <c r="A91" t="str">
        <f t="shared" si="1"/>
        <v>Longitud efectiva</v>
      </c>
      <c r="D91" t="s">
        <v>103</v>
      </c>
      <c r="E91" t="s">
        <v>556</v>
      </c>
      <c r="F91" s="156" t="s">
        <v>980</v>
      </c>
      <c r="G91" s="156" t="s">
        <v>981</v>
      </c>
      <c r="H91" s="156" t="s">
        <v>982</v>
      </c>
      <c r="I91" s="156" t="s">
        <v>983</v>
      </c>
    </row>
    <row r="92" spans="1:9" ht="25.5">
      <c r="A92" t="str">
        <f t="shared" si="1"/>
        <v>Longitud mínimo anclaje</v>
      </c>
      <c r="D92" t="s">
        <v>422</v>
      </c>
      <c r="E92" t="s">
        <v>557</v>
      </c>
      <c r="F92" s="156" t="s">
        <v>984</v>
      </c>
      <c r="G92" s="156" t="s">
        <v>985</v>
      </c>
      <c r="H92" s="156" t="s">
        <v>986</v>
      </c>
      <c r="I92" s="156" t="s">
        <v>987</v>
      </c>
    </row>
    <row r="93" spans="1:9">
      <c r="A93" t="str">
        <f t="shared" si="1"/>
        <v xml:space="preserve">Coeficiente de trabajo </v>
      </c>
      <c r="D93" t="s">
        <v>140</v>
      </c>
      <c r="E93" t="s">
        <v>558</v>
      </c>
      <c r="F93" s="156" t="s">
        <v>988</v>
      </c>
      <c r="G93" s="156" t="s">
        <v>989</v>
      </c>
      <c r="H93" s="156" t="s">
        <v>990</v>
      </c>
      <c r="I93" s="156" t="s">
        <v>991</v>
      </c>
    </row>
    <row r="94" spans="1:9">
      <c r="A94" t="str">
        <f t="shared" si="1"/>
        <v>Longitud efectiva</v>
      </c>
      <c r="D94" t="s">
        <v>103</v>
      </c>
      <c r="E94" t="s">
        <v>556</v>
      </c>
      <c r="F94" s="156" t="s">
        <v>980</v>
      </c>
      <c r="G94" s="156" t="s">
        <v>981</v>
      </c>
      <c r="H94" s="156" t="s">
        <v>982</v>
      </c>
      <c r="I94" s="156" t="s">
        <v>983</v>
      </c>
    </row>
    <row r="95" spans="1:9" ht="25.5">
      <c r="A95" t="str">
        <f t="shared" si="1"/>
        <v>Longitud mínima solapamiento</v>
      </c>
      <c r="D95" t="s">
        <v>423</v>
      </c>
      <c r="E95" t="s">
        <v>559</v>
      </c>
      <c r="F95" s="156" t="s">
        <v>1363</v>
      </c>
      <c r="G95" s="156" t="s">
        <v>992</v>
      </c>
      <c r="H95" s="156" t="s">
        <v>993</v>
      </c>
      <c r="I95" s="156" t="s">
        <v>994</v>
      </c>
    </row>
    <row r="96" spans="1:9">
      <c r="A96" t="str">
        <f t="shared" si="1"/>
        <v>Coeficiente de trabajo</v>
      </c>
      <c r="D96" t="s">
        <v>145</v>
      </c>
      <c r="E96" t="s">
        <v>558</v>
      </c>
      <c r="F96" s="156" t="s">
        <v>995</v>
      </c>
      <c r="G96" s="156" t="s">
        <v>996</v>
      </c>
      <c r="H96" s="156" t="s">
        <v>997</v>
      </c>
      <c r="I96" s="156" t="s">
        <v>998</v>
      </c>
    </row>
    <row r="97" spans="1:9">
      <c r="A97" t="str">
        <f t="shared" si="1"/>
        <v>Rigideces</v>
      </c>
      <c r="D97" s="6" t="s">
        <v>424</v>
      </c>
      <c r="E97" s="6" t="s">
        <v>560</v>
      </c>
      <c r="F97" s="195" t="s">
        <v>999</v>
      </c>
      <c r="G97" s="195" t="s">
        <v>1000</v>
      </c>
      <c r="H97" s="195" t="s">
        <v>1001</v>
      </c>
      <c r="I97" s="195" t="s">
        <v>1002</v>
      </c>
    </row>
    <row r="98" spans="1:9">
      <c r="A98" t="str">
        <f t="shared" si="1"/>
        <v>Rigidez al corte</v>
      </c>
      <c r="D98" t="s">
        <v>272</v>
      </c>
      <c r="E98" t="s">
        <v>561</v>
      </c>
      <c r="F98" s="156" t="s">
        <v>1003</v>
      </c>
      <c r="G98" s="156" t="s">
        <v>1004</v>
      </c>
      <c r="H98" s="156" t="s">
        <v>1005</v>
      </c>
      <c r="I98" s="156" t="s">
        <v>1006</v>
      </c>
    </row>
    <row r="99" spans="1:9">
      <c r="A99" t="str">
        <f t="shared" si="1"/>
        <v>Rigidez axial</v>
      </c>
      <c r="D99" t="s">
        <v>271</v>
      </c>
      <c r="E99" t="s">
        <v>562</v>
      </c>
      <c r="F99" s="156" t="s">
        <v>1007</v>
      </c>
      <c r="G99" s="156" t="s">
        <v>1008</v>
      </c>
      <c r="H99" s="156" t="s">
        <v>1009</v>
      </c>
      <c r="I99" s="156" t="s">
        <v>1008</v>
      </c>
    </row>
    <row r="100" spans="1:9">
      <c r="A100" t="str">
        <f t="shared" si="1"/>
        <v>Rigidez rotacional (*)</v>
      </c>
      <c r="D100" t="s">
        <v>653</v>
      </c>
      <c r="E100" t="s">
        <v>654</v>
      </c>
      <c r="F100" s="156" t="s">
        <v>1371</v>
      </c>
      <c r="G100" s="156" t="s">
        <v>1011</v>
      </c>
      <c r="H100" s="156" t="s">
        <v>1012</v>
      </c>
      <c r="I100" s="156" t="s">
        <v>1011</v>
      </c>
    </row>
    <row r="101" spans="1:9" ht="25.5">
      <c r="A101" t="str">
        <f t="shared" si="1"/>
        <v>Cálculo eje neutro - Flexión</v>
      </c>
      <c r="D101" s="126" t="s">
        <v>246</v>
      </c>
      <c r="E101" s="126" t="s">
        <v>563</v>
      </c>
      <c r="F101" s="198" t="s">
        <v>1013</v>
      </c>
      <c r="G101" s="198" t="s">
        <v>1014</v>
      </c>
      <c r="H101" s="198" t="s">
        <v>1015</v>
      </c>
      <c r="I101" s="198" t="s">
        <v>1016</v>
      </c>
    </row>
    <row r="102" spans="1:9" ht="25.5">
      <c r="A102" t="str">
        <f t="shared" si="1"/>
        <v xml:space="preserve">Momento de flexión respecto a los tornillos </v>
      </c>
      <c r="D102" t="s">
        <v>407</v>
      </c>
      <c r="E102" t="s">
        <v>564</v>
      </c>
      <c r="F102" s="156" t="s">
        <v>1017</v>
      </c>
      <c r="G102" s="156" t="s">
        <v>1018</v>
      </c>
      <c r="H102" s="156" t="s">
        <v>1019</v>
      </c>
      <c r="I102" s="156" t="s">
        <v>1020</v>
      </c>
    </row>
    <row r="103" spans="1:9">
      <c r="A103" t="str">
        <f t="shared" si="1"/>
        <v xml:space="preserve">Eje neutro </v>
      </c>
      <c r="D103" t="s">
        <v>408</v>
      </c>
      <c r="E103" t="s">
        <v>565</v>
      </c>
      <c r="F103" s="156" t="s">
        <v>1021</v>
      </c>
      <c r="G103" s="156" t="s">
        <v>1022</v>
      </c>
      <c r="H103" s="156" t="s">
        <v>1023</v>
      </c>
      <c r="I103" s="156" t="s">
        <v>1024</v>
      </c>
    </row>
    <row r="104" spans="1:9" ht="25.5">
      <c r="A104" t="str">
        <f t="shared" si="1"/>
        <v xml:space="preserve">Parte comprimida primera lámina </v>
      </c>
      <c r="D104" t="s">
        <v>409</v>
      </c>
      <c r="E104" t="s">
        <v>566</v>
      </c>
      <c r="F104" s="156" t="s">
        <v>1372</v>
      </c>
      <c r="G104" s="156" t="s">
        <v>1025</v>
      </c>
      <c r="H104" s="156" t="s">
        <v>1026</v>
      </c>
      <c r="I104" s="156" t="s">
        <v>1027</v>
      </c>
    </row>
    <row r="105" spans="1:9" ht="25.5">
      <c r="A105" t="str">
        <f t="shared" si="1"/>
        <v xml:space="preserve">Parte comprimida segunda lámina </v>
      </c>
      <c r="D105" t="s">
        <v>410</v>
      </c>
      <c r="E105" t="s">
        <v>567</v>
      </c>
      <c r="F105" s="156" t="s">
        <v>1373</v>
      </c>
      <c r="G105" s="156" t="s">
        <v>1028</v>
      </c>
      <c r="H105" s="156" t="s">
        <v>1029</v>
      </c>
      <c r="I105" s="156" t="s">
        <v>1030</v>
      </c>
    </row>
    <row r="106" spans="1:9" ht="25.5">
      <c r="A106" t="str">
        <f t="shared" si="1"/>
        <v xml:space="preserve">Parte comprimida tercera lámina </v>
      </c>
      <c r="D106" t="s">
        <v>411</v>
      </c>
      <c r="E106" t="s">
        <v>568</v>
      </c>
      <c r="F106" s="156" t="s">
        <v>1374</v>
      </c>
      <c r="G106" s="156" t="s">
        <v>1031</v>
      </c>
      <c r="H106" s="156" t="s">
        <v>1032</v>
      </c>
      <c r="I106" s="156" t="s">
        <v>1033</v>
      </c>
    </row>
    <row r="107" spans="1:9">
      <c r="A107" t="str">
        <f t="shared" si="1"/>
        <v xml:space="preserve">Posición resultante </v>
      </c>
      <c r="D107" t="s">
        <v>412</v>
      </c>
      <c r="E107" t="s">
        <v>569</v>
      </c>
      <c r="F107" s="156" t="s">
        <v>1034</v>
      </c>
      <c r="G107" s="156" t="s">
        <v>1035</v>
      </c>
      <c r="H107" s="156" t="s">
        <v>1036</v>
      </c>
      <c r="I107" s="156" t="s">
        <v>1037</v>
      </c>
    </row>
    <row r="108" spans="1:9">
      <c r="A108" t="str">
        <f t="shared" si="1"/>
        <v>Brazo de palanca</v>
      </c>
      <c r="D108" t="s">
        <v>83</v>
      </c>
      <c r="E108" t="s">
        <v>570</v>
      </c>
      <c r="F108" s="156" t="s">
        <v>1375</v>
      </c>
      <c r="G108" s="156" t="s">
        <v>1038</v>
      </c>
      <c r="H108" s="156" t="s">
        <v>1039</v>
      </c>
      <c r="I108" s="156" t="s">
        <v>1040</v>
      </c>
    </row>
    <row r="109" spans="1:9">
      <c r="A109" t="str">
        <f t="shared" si="1"/>
        <v>Cálculo esfuerzos</v>
      </c>
      <c r="D109" s="126" t="s">
        <v>123</v>
      </c>
      <c r="E109" s="126" t="s">
        <v>571</v>
      </c>
      <c r="F109" s="198" t="s">
        <v>1041</v>
      </c>
      <c r="G109" s="198" t="s">
        <v>1042</v>
      </c>
      <c r="H109" s="198" t="s">
        <v>1043</v>
      </c>
      <c r="I109" s="198" t="s">
        <v>1044</v>
      </c>
    </row>
    <row r="110" spans="1:9" ht="25.5">
      <c r="A110" t="str">
        <f t="shared" si="1"/>
        <v>Acción máxima en todos los tornillos</v>
      </c>
      <c r="D110" t="s">
        <v>110</v>
      </c>
      <c r="E110" t="s">
        <v>572</v>
      </c>
      <c r="F110" s="156" t="s">
        <v>1376</v>
      </c>
      <c r="G110" s="156" t="s">
        <v>1045</v>
      </c>
      <c r="H110" s="156" t="s">
        <v>1046</v>
      </c>
      <c r="I110" s="156" t="s">
        <v>1047</v>
      </c>
    </row>
    <row r="111" spans="1:9" ht="25.5">
      <c r="A111" t="str">
        <f t="shared" si="1"/>
        <v>Acción máxima en un solo tornillo (*)</v>
      </c>
      <c r="D111" t="s">
        <v>374</v>
      </c>
      <c r="E111" t="s">
        <v>573</v>
      </c>
      <c r="F111" s="156" t="s">
        <v>1377</v>
      </c>
      <c r="G111" s="156" t="s">
        <v>1048</v>
      </c>
      <c r="H111" s="156" t="s">
        <v>1049</v>
      </c>
      <c r="I111" s="156" t="s">
        <v>1050</v>
      </c>
    </row>
    <row r="112" spans="1:9" ht="38.25">
      <c r="A112" t="str">
        <f t="shared" si="1"/>
        <v>Acción máxima tornillos dentro del plano en un solo tornillo superior</v>
      </c>
      <c r="D112" t="s">
        <v>124</v>
      </c>
      <c r="E112" t="s">
        <v>574</v>
      </c>
      <c r="F112" s="156" t="s">
        <v>1378</v>
      </c>
      <c r="G112" s="156" t="s">
        <v>1051</v>
      </c>
      <c r="H112" s="156" t="s">
        <v>1052</v>
      </c>
      <c r="I112" s="156" t="s">
        <v>1053</v>
      </c>
    </row>
    <row r="113" spans="1:9" ht="38.25">
      <c r="A113" t="str">
        <f t="shared" si="1"/>
        <v>Acción máxima tornillos dentro del plano en un solo tornillo inferior</v>
      </c>
      <c r="D113" t="s">
        <v>125</v>
      </c>
      <c r="E113" t="s">
        <v>575</v>
      </c>
      <c r="F113" s="156" t="s">
        <v>1379</v>
      </c>
      <c r="G113" s="156" t="s">
        <v>1054</v>
      </c>
      <c r="H113" s="156" t="s">
        <v>1055</v>
      </c>
      <c r="I113" s="156" t="s">
        <v>1056</v>
      </c>
    </row>
    <row r="114" spans="1:9" ht="51">
      <c r="A114" t="str">
        <f t="shared" si="1"/>
        <v>Acción máxima tornillos fuera del plano en un solo tornillo superior</v>
      </c>
      <c r="D114" t="s">
        <v>413</v>
      </c>
      <c r="E114" t="s">
        <v>576</v>
      </c>
      <c r="F114" s="156" t="s">
        <v>1380</v>
      </c>
      <c r="G114" s="156" t="s">
        <v>1057</v>
      </c>
      <c r="H114" s="156" t="s">
        <v>1058</v>
      </c>
      <c r="I114" s="156" t="s">
        <v>1059</v>
      </c>
    </row>
    <row r="115" spans="1:9" ht="51">
      <c r="A115" t="str">
        <f t="shared" si="1"/>
        <v>Acción máxima tornillos fuera del plano en un solo tornillo inferior</v>
      </c>
      <c r="D115" t="s">
        <v>414</v>
      </c>
      <c r="E115" t="s">
        <v>577</v>
      </c>
      <c r="F115" s="156" t="s">
        <v>1381</v>
      </c>
      <c r="G115" s="156" t="s">
        <v>1060</v>
      </c>
      <c r="H115" s="156" t="s">
        <v>1061</v>
      </c>
      <c r="I115" s="156" t="s">
        <v>1062</v>
      </c>
    </row>
    <row r="116" spans="1:9" ht="25.5">
      <c r="A116" t="str">
        <f t="shared" si="1"/>
        <v>Acción combinada en un solo tornillo superior</v>
      </c>
      <c r="D116" t="s">
        <v>127</v>
      </c>
      <c r="E116" t="s">
        <v>578</v>
      </c>
      <c r="F116" s="156" t="s">
        <v>1382</v>
      </c>
      <c r="G116" s="156" t="s">
        <v>1063</v>
      </c>
      <c r="H116" s="156" t="s">
        <v>1064</v>
      </c>
      <c r="I116" s="156" t="s">
        <v>1065</v>
      </c>
    </row>
    <row r="117" spans="1:9" ht="38.25">
      <c r="A117" t="str">
        <f t="shared" si="1"/>
        <v>Acción combinada en un solo tornillo inferior</v>
      </c>
      <c r="D117" t="s">
        <v>126</v>
      </c>
      <c r="E117" t="s">
        <v>579</v>
      </c>
      <c r="F117" s="156" t="s">
        <v>1383</v>
      </c>
      <c r="G117" s="156" t="s">
        <v>1066</v>
      </c>
      <c r="H117" s="156" t="s">
        <v>1067</v>
      </c>
      <c r="I117" s="156" t="s">
        <v>1068</v>
      </c>
    </row>
    <row r="118" spans="1:9" ht="25.5">
      <c r="A118" t="str">
        <f t="shared" si="1"/>
        <v>Máxima acción de corte</v>
      </c>
      <c r="D118" t="s">
        <v>134</v>
      </c>
      <c r="E118" t="s">
        <v>551</v>
      </c>
      <c r="F118" s="156" t="s">
        <v>960</v>
      </c>
      <c r="G118" s="156" t="s">
        <v>961</v>
      </c>
      <c r="H118" s="156" t="s">
        <v>962</v>
      </c>
      <c r="I118" s="156" t="s">
        <v>963</v>
      </c>
    </row>
    <row r="119" spans="1:9" ht="76.5">
      <c r="A119" t="str">
        <f t="shared" si="1"/>
        <v>(*) Se considera que la tracción es absorbida únicamente por los tornillos en la línea inferior</v>
      </c>
      <c r="D119" t="s">
        <v>373</v>
      </c>
      <c r="E119" t="s">
        <v>580</v>
      </c>
      <c r="F119" s="156" t="s">
        <v>1384</v>
      </c>
      <c r="G119" s="156" t="s">
        <v>1069</v>
      </c>
      <c r="H119" s="156" t="s">
        <v>1070</v>
      </c>
      <c r="I119" s="156" t="s">
        <v>1071</v>
      </c>
    </row>
    <row r="120" spans="1:9" ht="25.5">
      <c r="A120" t="str">
        <f t="shared" si="1"/>
        <v>Fibras inferiores en tracción</v>
      </c>
      <c r="D120" t="s">
        <v>434</v>
      </c>
      <c r="E120" t="s">
        <v>497</v>
      </c>
      <c r="F120" s="156" t="s">
        <v>1357</v>
      </c>
      <c r="G120" s="156" t="s">
        <v>733</v>
      </c>
      <c r="H120" s="156" t="s">
        <v>734</v>
      </c>
      <c r="I120" s="156" t="s">
        <v>735</v>
      </c>
    </row>
    <row r="121" spans="1:9" ht="25.5">
      <c r="A121" t="str">
        <f t="shared" si="1"/>
        <v>Fibras superiores en tracción</v>
      </c>
      <c r="D121" t="s">
        <v>443</v>
      </c>
      <c r="E121" t="s">
        <v>581</v>
      </c>
      <c r="F121" s="156" t="s">
        <v>1385</v>
      </c>
      <c r="G121" s="156" t="s">
        <v>1072</v>
      </c>
      <c r="H121" s="156" t="s">
        <v>1073</v>
      </c>
      <c r="I121" s="156" t="s">
        <v>1074</v>
      </c>
    </row>
    <row r="122" spans="1:9">
      <c r="A122" t="str">
        <f t="shared" si="1"/>
        <v>Comprobación</v>
      </c>
      <c r="D122" s="126" t="s">
        <v>442</v>
      </c>
      <c r="E122" s="126" t="s">
        <v>687</v>
      </c>
      <c r="F122" s="198" t="s">
        <v>944</v>
      </c>
      <c r="G122" s="198" t="s">
        <v>945</v>
      </c>
      <c r="H122" s="198" t="s">
        <v>946</v>
      </c>
      <c r="I122" s="198" t="s">
        <v>947</v>
      </c>
    </row>
    <row r="123" spans="1:9" ht="38.25">
      <c r="A123" t="str">
        <f t="shared" si="1"/>
        <v>Resistencia axial un solo tornillo lado madera/acero</v>
      </c>
      <c r="D123" t="s">
        <v>415</v>
      </c>
      <c r="E123" t="s">
        <v>582</v>
      </c>
      <c r="F123" s="156" t="s">
        <v>952</v>
      </c>
      <c r="G123" s="156" t="s">
        <v>953</v>
      </c>
      <c r="H123" s="156" t="s">
        <v>954</v>
      </c>
      <c r="I123" s="156" t="s">
        <v>955</v>
      </c>
    </row>
    <row r="124" spans="1:9" ht="38.25">
      <c r="A124" t="str">
        <f t="shared" si="1"/>
        <v xml:space="preserve">Resistencia al corte de un solo tornillo </v>
      </c>
      <c r="D124" t="s">
        <v>223</v>
      </c>
      <c r="E124" t="s">
        <v>583</v>
      </c>
      <c r="F124" s="156" t="s">
        <v>964</v>
      </c>
      <c r="G124" s="156" t="s">
        <v>965</v>
      </c>
      <c r="H124" s="156" t="s">
        <v>966</v>
      </c>
      <c r="I124" s="156" t="s">
        <v>967</v>
      </c>
    </row>
    <row r="125" spans="1:9" ht="25.5">
      <c r="A125" t="str">
        <f t="shared" si="1"/>
        <v xml:space="preserve">Coeficiente de trabajo esfuerzo axial </v>
      </c>
      <c r="D125" t="s">
        <v>171</v>
      </c>
      <c r="E125" t="s">
        <v>550</v>
      </c>
      <c r="F125" s="156" t="s">
        <v>956</v>
      </c>
      <c r="G125" s="156" t="s">
        <v>957</v>
      </c>
      <c r="H125" s="156" t="s">
        <v>958</v>
      </c>
      <c r="I125" s="156" t="s">
        <v>959</v>
      </c>
    </row>
    <row r="126" spans="1:9" ht="25.5">
      <c r="A126" t="str">
        <f t="shared" si="1"/>
        <v xml:space="preserve">Coeficiente de trabajo esfuerzo corte </v>
      </c>
      <c r="D126" t="s">
        <v>172</v>
      </c>
      <c r="E126" t="s">
        <v>553</v>
      </c>
      <c r="F126" s="156" t="s">
        <v>968</v>
      </c>
      <c r="G126" s="156" t="s">
        <v>969</v>
      </c>
      <c r="H126" s="156" t="s">
        <v>970</v>
      </c>
      <c r="I126" s="156" t="s">
        <v>971</v>
      </c>
    </row>
    <row r="127" spans="1:9" ht="38.25">
      <c r="A127" t="str">
        <f t="shared" si="1"/>
        <v xml:space="preserve">Coeficiente de trabajo combinación corte tracción </v>
      </c>
      <c r="D127" t="s">
        <v>173</v>
      </c>
      <c r="E127" t="s">
        <v>554</v>
      </c>
      <c r="F127" s="156" t="s">
        <v>972</v>
      </c>
      <c r="G127" s="156" t="s">
        <v>973</v>
      </c>
      <c r="H127" s="156" t="s">
        <v>974</v>
      </c>
      <c r="I127" s="156" t="s">
        <v>975</v>
      </c>
    </row>
    <row r="128" spans="1:9" ht="38.25">
      <c r="A128" t="str">
        <f t="shared" si="1"/>
        <v>Comprobación anclaje lado hormigón</v>
      </c>
      <c r="D128" s="126" t="s">
        <v>98</v>
      </c>
      <c r="E128" s="126" t="s">
        <v>555</v>
      </c>
      <c r="F128" s="198" t="s">
        <v>976</v>
      </c>
      <c r="G128" s="198" t="s">
        <v>977</v>
      </c>
      <c r="H128" s="198" t="s">
        <v>978</v>
      </c>
      <c r="I128" s="198" t="s">
        <v>979</v>
      </c>
    </row>
    <row r="129" spans="1:9" ht="25.5">
      <c r="A129" t="str">
        <f t="shared" si="1"/>
        <v>Longitud anclaje requerida</v>
      </c>
      <c r="D129" t="s">
        <v>135</v>
      </c>
      <c r="E129" t="s">
        <v>584</v>
      </c>
      <c r="F129" s="156" t="s">
        <v>1075</v>
      </c>
      <c r="G129" s="156" t="s">
        <v>1076</v>
      </c>
      <c r="H129" s="156" t="s">
        <v>1077</v>
      </c>
      <c r="I129" s="156" t="s">
        <v>1078</v>
      </c>
    </row>
    <row r="130" spans="1:9" ht="25.5">
      <c r="A130" t="str">
        <f t="shared" si="1"/>
        <v>Longitud mínima anclaje</v>
      </c>
      <c r="D130" t="s">
        <v>137</v>
      </c>
      <c r="E130" t="s">
        <v>557</v>
      </c>
      <c r="F130" s="156" t="s">
        <v>984</v>
      </c>
      <c r="G130" s="156" t="s">
        <v>1079</v>
      </c>
      <c r="H130" s="156" t="s">
        <v>1080</v>
      </c>
      <c r="I130" s="156" t="s">
        <v>987</v>
      </c>
    </row>
    <row r="131" spans="1:9">
      <c r="A131" t="str">
        <f t="shared" si="1"/>
        <v>Longitud efectiva</v>
      </c>
      <c r="D131" t="s">
        <v>103</v>
      </c>
      <c r="E131" t="s">
        <v>556</v>
      </c>
      <c r="F131" s="156" t="s">
        <v>980</v>
      </c>
      <c r="G131" s="156" t="s">
        <v>981</v>
      </c>
      <c r="H131" s="156" t="s">
        <v>982</v>
      </c>
      <c r="I131" s="156" t="s">
        <v>983</v>
      </c>
    </row>
    <row r="132" spans="1:9" ht="25.5">
      <c r="A132" t="str">
        <f t="shared" ref="A132:A186" si="2">IF($B$1=$D$1,D132,IF($B$1=$E$1,E132,IF($B$1=$F$1,F132,IF($B$1=$G$1,G132,IF($B$1=$H$1,H132,IF($B$1=$I$1,I132,"ERROR"))))))</f>
        <v>Longitud anclaje</v>
      </c>
      <c r="D132" t="s">
        <v>340</v>
      </c>
      <c r="E132" t="s">
        <v>539</v>
      </c>
      <c r="F132" s="156" t="s">
        <v>911</v>
      </c>
      <c r="G132" s="156" t="s">
        <v>1081</v>
      </c>
      <c r="H132" s="156" t="s">
        <v>913</v>
      </c>
      <c r="I132" s="156" t="s">
        <v>914</v>
      </c>
    </row>
    <row r="133" spans="1:9">
      <c r="A133" t="str">
        <f t="shared" si="2"/>
        <v xml:space="preserve">Coeficiente de trabajo </v>
      </c>
      <c r="D133" t="s">
        <v>140</v>
      </c>
      <c r="E133" t="s">
        <v>558</v>
      </c>
      <c r="F133" s="156" t="s">
        <v>988</v>
      </c>
      <c r="G133" s="156" t="s">
        <v>989</v>
      </c>
      <c r="H133" s="156" t="s">
        <v>990</v>
      </c>
      <c r="I133" s="156" t="s">
        <v>991</v>
      </c>
    </row>
    <row r="134" spans="1:9">
      <c r="A134" t="str">
        <f t="shared" si="2"/>
        <v xml:space="preserve">Longitud solapamiento </v>
      </c>
      <c r="D134" t="s">
        <v>142</v>
      </c>
      <c r="E134" t="s">
        <v>585</v>
      </c>
      <c r="F134" s="156" t="s">
        <v>907</v>
      </c>
      <c r="G134" s="156" t="s">
        <v>1082</v>
      </c>
      <c r="H134" s="156" t="s">
        <v>1083</v>
      </c>
      <c r="I134" s="156" t="s">
        <v>1084</v>
      </c>
    </row>
    <row r="135" spans="1:9" ht="25.5">
      <c r="A135" t="str">
        <f t="shared" si="2"/>
        <v>Longitud mínima solapamiento</v>
      </c>
      <c r="D135" t="s">
        <v>423</v>
      </c>
      <c r="E135" t="s">
        <v>559</v>
      </c>
      <c r="F135" s="156" t="s">
        <v>1386</v>
      </c>
      <c r="G135" s="156" t="s">
        <v>992</v>
      </c>
      <c r="H135" s="156" t="s">
        <v>993</v>
      </c>
      <c r="I135" s="156" t="s">
        <v>994</v>
      </c>
    </row>
    <row r="136" spans="1:9">
      <c r="A136" t="str">
        <f t="shared" si="2"/>
        <v>Longitud efectiva</v>
      </c>
      <c r="D136" t="s">
        <v>103</v>
      </c>
      <c r="E136" t="s">
        <v>556</v>
      </c>
      <c r="F136" s="156" t="s">
        <v>980</v>
      </c>
      <c r="G136" s="156" t="s">
        <v>981</v>
      </c>
      <c r="H136" s="156" t="s">
        <v>982</v>
      </c>
      <c r="I136" s="156" t="s">
        <v>983</v>
      </c>
    </row>
    <row r="137" spans="1:9">
      <c r="A137" t="str">
        <f t="shared" si="2"/>
        <v>Coeficiente de trabajo</v>
      </c>
      <c r="D137" t="s">
        <v>145</v>
      </c>
      <c r="E137" t="s">
        <v>558</v>
      </c>
      <c r="F137" s="156" t="s">
        <v>995</v>
      </c>
      <c r="G137" s="156" t="s">
        <v>996</v>
      </c>
      <c r="H137" s="156" t="s">
        <v>997</v>
      </c>
      <c r="I137" s="156" t="s">
        <v>998</v>
      </c>
    </row>
    <row r="138" spans="1:9" ht="25.5">
      <c r="A138" t="str">
        <f t="shared" si="2"/>
        <v>Rigidez corte/flexión</v>
      </c>
      <c r="D138" s="126" t="s">
        <v>286</v>
      </c>
      <c r="E138" s="126" t="s">
        <v>586</v>
      </c>
      <c r="F138" s="198" t="s">
        <v>1085</v>
      </c>
      <c r="G138" s="198" t="s">
        <v>1086</v>
      </c>
      <c r="H138" s="198" t="s">
        <v>1087</v>
      </c>
      <c r="I138" s="198" t="s">
        <v>1088</v>
      </c>
    </row>
    <row r="139" spans="1:9">
      <c r="A139" t="str">
        <f t="shared" si="2"/>
        <v>Rigidez al corte</v>
      </c>
      <c r="D139" t="s">
        <v>272</v>
      </c>
      <c r="E139" t="s">
        <v>561</v>
      </c>
      <c r="F139" s="156" t="s">
        <v>1003</v>
      </c>
      <c r="G139" s="156" t="s">
        <v>1004</v>
      </c>
      <c r="H139" s="156" t="s">
        <v>1005</v>
      </c>
      <c r="I139" s="156" t="s">
        <v>1006</v>
      </c>
    </row>
    <row r="140" spans="1:9">
      <c r="A140" t="str">
        <f t="shared" si="2"/>
        <v>primera capa</v>
      </c>
      <c r="D140" t="s">
        <v>444</v>
      </c>
      <c r="E140" t="s">
        <v>288</v>
      </c>
      <c r="F140" s="156" t="s">
        <v>1089</v>
      </c>
      <c r="G140" s="156" t="s">
        <v>1090</v>
      </c>
      <c r="H140" s="156" t="s">
        <v>1091</v>
      </c>
      <c r="I140" s="156" t="s">
        <v>1092</v>
      </c>
    </row>
    <row r="141" spans="1:9">
      <c r="A141" t="str">
        <f t="shared" si="2"/>
        <v>25 % espesor</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Cálculo longitud comprimida por rigidez</v>
      </c>
      <c r="D143" t="s">
        <v>257</v>
      </c>
      <c r="E143" t="s">
        <v>588</v>
      </c>
      <c r="F143" s="156" t="s">
        <v>1387</v>
      </c>
      <c r="G143" s="156" t="s">
        <v>1098</v>
      </c>
      <c r="H143" s="156" t="s">
        <v>1099</v>
      </c>
      <c r="I143" s="156" t="s">
        <v>1100</v>
      </c>
    </row>
    <row r="144" spans="1:9">
      <c r="A144" t="str">
        <f t="shared" si="2"/>
        <v>Brazo de palanca</v>
      </c>
      <c r="D144" t="s">
        <v>83</v>
      </c>
      <c r="E144" t="s">
        <v>570</v>
      </c>
      <c r="F144" s="156" t="s">
        <v>1375</v>
      </c>
      <c r="G144" s="156" t="s">
        <v>1038</v>
      </c>
      <c r="H144" s="156" t="s">
        <v>1039</v>
      </c>
      <c r="I144" s="156" t="s">
        <v>1040</v>
      </c>
    </row>
    <row r="145" spans="1:9">
      <c r="A145" t="str">
        <f t="shared" si="2"/>
        <v>Momento de referencia</v>
      </c>
      <c r="D145" t="s">
        <v>262</v>
      </c>
      <c r="E145" t="s">
        <v>589</v>
      </c>
      <c r="F145" s="156" t="s">
        <v>1101</v>
      </c>
      <c r="G145" s="156" t="s">
        <v>1102</v>
      </c>
      <c r="H145" s="156" t="s">
        <v>1103</v>
      </c>
      <c r="I145" s="156" t="s">
        <v>1104</v>
      </c>
    </row>
    <row r="146" spans="1:9" ht="25.5">
      <c r="A146" t="str">
        <f t="shared" si="2"/>
        <v>Fuerza en los tornillos de referencia</v>
      </c>
      <c r="D146" t="s">
        <v>416</v>
      </c>
      <c r="E146" t="s">
        <v>590</v>
      </c>
      <c r="F146" s="156" t="s">
        <v>1105</v>
      </c>
      <c r="G146" s="156" t="s">
        <v>1106</v>
      </c>
      <c r="H146" s="156" t="s">
        <v>1107</v>
      </c>
      <c r="I146" s="156" t="s">
        <v>1108</v>
      </c>
    </row>
    <row r="147" spans="1:9">
      <c r="A147" t="str">
        <f t="shared" si="2"/>
        <v>Anchura de referencia</v>
      </c>
      <c r="D147" t="s">
        <v>269</v>
      </c>
      <c r="E147" t="s">
        <v>591</v>
      </c>
      <c r="F147" s="156" t="s">
        <v>1109</v>
      </c>
      <c r="G147" s="156" t="s">
        <v>1110</v>
      </c>
      <c r="H147" s="156" t="s">
        <v>1111</v>
      </c>
      <c r="I147" s="156" t="s">
        <v>1112</v>
      </c>
    </row>
    <row r="148" spans="1:9">
      <c r="A148" t="str">
        <f t="shared" si="2"/>
        <v xml:space="preserve">Rigidez a compresión </v>
      </c>
      <c r="D148" t="s">
        <v>264</v>
      </c>
      <c r="E148" t="s">
        <v>592</v>
      </c>
      <c r="F148" s="156" t="s">
        <v>1113</v>
      </c>
      <c r="G148" s="156" t="s">
        <v>1114</v>
      </c>
      <c r="H148" s="156" t="s">
        <v>1115</v>
      </c>
      <c r="I148" s="156" t="s">
        <v>1116</v>
      </c>
    </row>
    <row r="149" spans="1:9">
      <c r="A149" t="str">
        <f t="shared" si="2"/>
        <v>Rigidez axial</v>
      </c>
      <c r="D149" t="s">
        <v>271</v>
      </c>
      <c r="E149" t="s">
        <v>562</v>
      </c>
      <c r="F149" s="156" t="s">
        <v>1007</v>
      </c>
      <c r="G149" s="156" t="s">
        <v>1008</v>
      </c>
      <c r="H149" s="156" t="s">
        <v>1009</v>
      </c>
      <c r="I149" s="156" t="s">
        <v>1008</v>
      </c>
    </row>
    <row r="150" spans="1:9" ht="25.5">
      <c r="A150" t="str">
        <f t="shared" si="2"/>
        <v>Tornillos en zona de tensión</v>
      </c>
      <c r="D150" t="s">
        <v>282</v>
      </c>
      <c r="E150" t="s">
        <v>593</v>
      </c>
      <c r="F150" s="156" t="s">
        <v>1388</v>
      </c>
      <c r="G150" s="156" t="s">
        <v>1117</v>
      </c>
      <c r="H150" s="156" t="s">
        <v>1118</v>
      </c>
      <c r="I150" s="156" t="s">
        <v>1119</v>
      </c>
    </row>
    <row r="151" spans="1:9" ht="25.5">
      <c r="A151" t="str">
        <f t="shared" si="2"/>
        <v>Deformación de la zona comprimida</v>
      </c>
      <c r="D151" t="s">
        <v>417</v>
      </c>
      <c r="E151" t="s">
        <v>594</v>
      </c>
      <c r="F151" s="156" t="s">
        <v>1389</v>
      </c>
      <c r="G151" s="156" t="s">
        <v>1120</v>
      </c>
      <c r="H151" s="156" t="s">
        <v>1121</v>
      </c>
      <c r="I151" s="156" t="s">
        <v>1122</v>
      </c>
    </row>
    <row r="152" spans="1:9" ht="25.5">
      <c r="A152" t="str">
        <f t="shared" si="2"/>
        <v>Deformación de las fijaciones</v>
      </c>
      <c r="D152" t="s">
        <v>418</v>
      </c>
      <c r="E152" t="s">
        <v>595</v>
      </c>
      <c r="F152" s="156" t="s">
        <v>1123</v>
      </c>
      <c r="G152" s="156" t="s">
        <v>1124</v>
      </c>
      <c r="H152" s="156" t="s">
        <v>1125</v>
      </c>
      <c r="I152" s="156" t="s">
        <v>1126</v>
      </c>
    </row>
    <row r="153" spans="1:9" ht="25.5">
      <c r="A153" t="str">
        <f t="shared" si="2"/>
        <v>Ángulo de rotación unitario</v>
      </c>
      <c r="D153" t="s">
        <v>284</v>
      </c>
      <c r="E153" t="s">
        <v>596</v>
      </c>
      <c r="F153" s="156" t="s">
        <v>1127</v>
      </c>
      <c r="G153" s="156" t="s">
        <v>1128</v>
      </c>
      <c r="H153" s="156" t="s">
        <v>1129</v>
      </c>
      <c r="I153" s="156" t="s">
        <v>1130</v>
      </c>
    </row>
    <row r="154" spans="1:9">
      <c r="A154" t="str">
        <f t="shared" si="2"/>
        <v>Rigidez rotacional (*)</v>
      </c>
      <c r="D154" t="s">
        <v>653</v>
      </c>
      <c r="E154" t="s">
        <v>654</v>
      </c>
      <c r="F154" s="156" t="s">
        <v>1010</v>
      </c>
      <c r="G154" s="156" t="s">
        <v>1011</v>
      </c>
      <c r="H154" s="156" t="s">
        <v>1012</v>
      </c>
      <c r="I154" s="156" t="s">
        <v>1011</v>
      </c>
    </row>
    <row r="155" spans="1:9">
      <c r="A155" t="str">
        <f t="shared" si="2"/>
        <v>celdas editables</v>
      </c>
      <c r="D155" s="152" t="s">
        <v>394</v>
      </c>
      <c r="E155" s="152" t="s">
        <v>597</v>
      </c>
      <c r="F155" s="199" t="s">
        <v>1131</v>
      </c>
      <c r="G155" s="199" t="s">
        <v>1132</v>
      </c>
      <c r="H155" s="199" t="s">
        <v>1133</v>
      </c>
      <c r="I155" s="199" t="s">
        <v>1134</v>
      </c>
    </row>
    <row r="156" spans="1:9" ht="38.25">
      <c r="A156" t="str">
        <f t="shared" si="2"/>
        <v>Distancia de la línea de tornillos bajos desde el borde CLT</v>
      </c>
      <c r="D156" t="s">
        <v>446</v>
      </c>
      <c r="E156" t="s">
        <v>598</v>
      </c>
      <c r="F156" s="156" t="s">
        <v>1390</v>
      </c>
      <c r="G156" s="156" t="s">
        <v>1135</v>
      </c>
      <c r="H156" s="156" t="s">
        <v>1136</v>
      </c>
      <c r="I156" s="156" t="s">
        <v>1137</v>
      </c>
    </row>
    <row r="157" spans="1:9">
      <c r="A157" t="str">
        <f t="shared" si="2"/>
        <v>Tabla</v>
      </c>
      <c r="D157" t="s">
        <v>377</v>
      </c>
      <c r="E157" t="s">
        <v>599</v>
      </c>
      <c r="F157" s="156" t="s">
        <v>1391</v>
      </c>
      <c r="G157" s="156" t="s">
        <v>1138</v>
      </c>
      <c r="H157" s="156" t="s">
        <v>1139</v>
      </c>
      <c r="I157" s="156" t="s">
        <v>1140</v>
      </c>
    </row>
    <row r="158" spans="1:9" ht="25.5">
      <c r="A158" t="str">
        <f t="shared" si="2"/>
        <v>Posición barra longitudinal</v>
      </c>
      <c r="D158" t="s">
        <v>378</v>
      </c>
      <c r="E158" t="s">
        <v>600</v>
      </c>
      <c r="F158" s="156" t="s">
        <v>1141</v>
      </c>
      <c r="G158" s="156" t="s">
        <v>1142</v>
      </c>
      <c r="H158" s="156" t="s">
        <v>1143</v>
      </c>
      <c r="I158" s="156" t="s">
        <v>1144</v>
      </c>
    </row>
    <row r="159" spans="1:9" ht="25.5">
      <c r="A159" t="str">
        <f t="shared" si="2"/>
        <v>Barra longitudinal (1/2 diám.)</v>
      </c>
      <c r="D159" t="s">
        <v>379</v>
      </c>
      <c r="E159" t="s">
        <v>601</v>
      </c>
      <c r="F159" s="156" t="s">
        <v>1145</v>
      </c>
      <c r="G159" s="156" t="s">
        <v>1146</v>
      </c>
      <c r="H159" s="156" t="s">
        <v>1147</v>
      </c>
      <c r="I159" s="156" t="s">
        <v>1148</v>
      </c>
    </row>
    <row r="160" spans="1:9" ht="25.5">
      <c r="A160" t="str">
        <f t="shared" si="2"/>
        <v>Tolerancia en curvatura estribos</v>
      </c>
      <c r="D160" s="166" t="s">
        <v>375</v>
      </c>
      <c r="E160" s="166" t="s">
        <v>646</v>
      </c>
      <c r="F160" s="196" t="s">
        <v>1149</v>
      </c>
      <c r="G160" s="196" t="s">
        <v>1150</v>
      </c>
      <c r="H160" s="196" t="s">
        <v>1151</v>
      </c>
      <c r="I160" s="196" t="s">
        <v>1152</v>
      </c>
    </row>
    <row r="161" spans="1:9" ht="25.5">
      <c r="A161" t="str">
        <f t="shared" si="2"/>
        <v>Tornillo (1/2 diám.)</v>
      </c>
      <c r="D161" t="s">
        <v>380</v>
      </c>
      <c r="E161" t="s">
        <v>602</v>
      </c>
      <c r="F161" s="156" t="s">
        <v>1153</v>
      </c>
      <c r="G161" s="156" t="s">
        <v>1154</v>
      </c>
      <c r="H161" s="156" t="s">
        <v>1155</v>
      </c>
      <c r="I161" s="156" t="s">
        <v>1156</v>
      </c>
    </row>
    <row r="162" spans="1:9">
      <c r="A162" t="str">
        <f t="shared" si="2"/>
        <v>celdas editables</v>
      </c>
      <c r="D162" s="152" t="s">
        <v>394</v>
      </c>
      <c r="E162" s="152" t="s">
        <v>597</v>
      </c>
      <c r="F162" s="199" t="s">
        <v>1131</v>
      </c>
      <c r="G162" s="199" t="s">
        <v>1132</v>
      </c>
      <c r="H162" s="199" t="s">
        <v>1133</v>
      </c>
      <c r="I162" s="199" t="s">
        <v>1134</v>
      </c>
    </row>
    <row r="163" spans="1:9" ht="25.5">
      <c r="A163" t="str">
        <f t="shared" si="2"/>
        <v>Recubrimiento mínimo requerido [mm]</v>
      </c>
      <c r="D163" t="s">
        <v>381</v>
      </c>
      <c r="E163" t="s">
        <v>603</v>
      </c>
      <c r="F163" s="156" t="s">
        <v>1157</v>
      </c>
      <c r="G163" s="156" t="s">
        <v>1158</v>
      </c>
      <c r="H163" s="156" t="s">
        <v>1159</v>
      </c>
      <c r="I163" s="156" t="s">
        <v>1160</v>
      </c>
    </row>
    <row r="164" spans="1:9" ht="25.5">
      <c r="A164" t="str">
        <f t="shared" si="2"/>
        <v>Clase de exposición ambiental</v>
      </c>
      <c r="D164" t="s">
        <v>384</v>
      </c>
      <c r="E164" t="s">
        <v>526</v>
      </c>
      <c r="F164" s="156" t="s">
        <v>865</v>
      </c>
      <c r="G164" s="156" t="s">
        <v>866</v>
      </c>
      <c r="H164" s="156" t="s">
        <v>867</v>
      </c>
      <c r="I164" s="156" t="s">
        <v>868</v>
      </c>
    </row>
    <row r="165" spans="1:9">
      <c r="A165" t="str">
        <f t="shared" si="2"/>
        <v>Clase estructural</v>
      </c>
      <c r="D165" t="s">
        <v>48</v>
      </c>
      <c r="E165" t="s">
        <v>604</v>
      </c>
      <c r="F165" s="156" t="s">
        <v>1161</v>
      </c>
      <c r="G165" s="156" t="s">
        <v>1162</v>
      </c>
      <c r="H165" s="156" t="s">
        <v>1163</v>
      </c>
      <c r="I165" s="156" t="s">
        <v>1164</v>
      </c>
    </row>
    <row r="166" spans="1:9" ht="25.5">
      <c r="A166" t="str">
        <f t="shared" si="2"/>
        <v>Recubrimiento mínimo para estribos</v>
      </c>
      <c r="D166" t="s">
        <v>390</v>
      </c>
      <c r="E166" t="s">
        <v>645</v>
      </c>
      <c r="F166" s="156" t="s">
        <v>1165</v>
      </c>
      <c r="G166" s="156" t="s">
        <v>1166</v>
      </c>
      <c r="H166" s="156" t="s">
        <v>1167</v>
      </c>
      <c r="I166" s="156" t="s">
        <v>872</v>
      </c>
    </row>
    <row r="167" spans="1:9" ht="38.25">
      <c r="A167" t="str">
        <f t="shared" si="2"/>
        <v>Recubrimiento mínimo para barras longitudinales</v>
      </c>
      <c r="D167" t="s">
        <v>391</v>
      </c>
      <c r="E167" t="s">
        <v>527</v>
      </c>
      <c r="F167" s="156" t="s">
        <v>1168</v>
      </c>
      <c r="G167" s="156" t="s">
        <v>1169</v>
      </c>
      <c r="H167" s="156" t="s">
        <v>1170</v>
      </c>
      <c r="I167" s="156" t="s">
        <v>875</v>
      </c>
    </row>
    <row r="168" spans="1:9" ht="38.25">
      <c r="A168" t="str">
        <f t="shared" si="2"/>
        <v>Distancia desde el eje de las barras longitudinales</v>
      </c>
      <c r="D168" t="s">
        <v>392</v>
      </c>
      <c r="E168" t="s">
        <v>605</v>
      </c>
      <c r="F168" s="156" t="s">
        <v>1171</v>
      </c>
      <c r="G168" s="156" t="s">
        <v>1172</v>
      </c>
      <c r="H168" s="156" t="s">
        <v>1173</v>
      </c>
      <c r="I168" s="156" t="s">
        <v>1174</v>
      </c>
    </row>
    <row r="169" spans="1:9">
      <c r="A169" t="str">
        <f t="shared" si="2"/>
        <v>celdas editables</v>
      </c>
      <c r="D169" s="152" t="s">
        <v>394</v>
      </c>
      <c r="E169" s="152" t="s">
        <v>597</v>
      </c>
      <c r="F169" s="199" t="s">
        <v>1131</v>
      </c>
      <c r="G169" s="199" t="s">
        <v>1132</v>
      </c>
      <c r="H169" s="199" t="s">
        <v>1133</v>
      </c>
      <c r="I169" s="199" t="s">
        <v>1134</v>
      </c>
    </row>
    <row r="170" spans="1:9">
      <c r="A170" t="str">
        <f t="shared" si="2"/>
        <v>Paneles</v>
      </c>
      <c r="D170" t="s">
        <v>3</v>
      </c>
      <c r="E170" t="s">
        <v>606</v>
      </c>
      <c r="F170" s="156" t="s">
        <v>1175</v>
      </c>
      <c r="G170" s="156" t="s">
        <v>1176</v>
      </c>
      <c r="H170" s="156" t="s">
        <v>1177</v>
      </c>
      <c r="I170" s="156" t="s">
        <v>1178</v>
      </c>
    </row>
    <row r="171" spans="1:9">
      <c r="A171" t="str">
        <f t="shared" si="2"/>
        <v>celdas editables</v>
      </c>
      <c r="D171" s="152" t="s">
        <v>394</v>
      </c>
      <c r="E171" s="152" t="s">
        <v>597</v>
      </c>
      <c r="F171" s="199" t="s">
        <v>1131</v>
      </c>
      <c r="G171" s="199" t="s">
        <v>1132</v>
      </c>
      <c r="H171" s="199" t="s">
        <v>1133</v>
      </c>
      <c r="I171" s="199" t="s">
        <v>1134</v>
      </c>
    </row>
    <row r="172" spans="1:9">
      <c r="A172" t="str">
        <f t="shared" si="2"/>
        <v>coef. conexión madera</v>
      </c>
      <c r="D172" t="s">
        <v>397</v>
      </c>
      <c r="E172" t="s">
        <v>607</v>
      </c>
      <c r="F172" s="156" t="s">
        <v>1179</v>
      </c>
      <c r="G172" s="156" t="s">
        <v>1180</v>
      </c>
      <c r="H172" s="156" t="s">
        <v>1181</v>
      </c>
      <c r="I172" s="156" t="s">
        <v>1182</v>
      </c>
    </row>
    <row r="173" spans="1:9">
      <c r="A173" t="str">
        <f t="shared" si="2"/>
        <v>coef. material acero</v>
      </c>
      <c r="D173" t="s">
        <v>395</v>
      </c>
      <c r="E173" t="s">
        <v>608</v>
      </c>
      <c r="F173" s="156" t="s">
        <v>1183</v>
      </c>
      <c r="G173" s="156" t="s">
        <v>1184</v>
      </c>
      <c r="H173" s="156" t="s">
        <v>1185</v>
      </c>
      <c r="I173" s="156" t="s">
        <v>1186</v>
      </c>
    </row>
    <row r="174" spans="1:9">
      <c r="A174" t="str">
        <f t="shared" si="2"/>
        <v>coef. material hormigón</v>
      </c>
      <c r="D174" t="s">
        <v>396</v>
      </c>
      <c r="E174" t="s">
        <v>609</v>
      </c>
      <c r="F174" s="156" t="s">
        <v>1187</v>
      </c>
      <c r="G174" s="156" t="s">
        <v>1188</v>
      </c>
      <c r="H174" s="156" t="s">
        <v>1189</v>
      </c>
      <c r="I174" s="156" t="s">
        <v>1190</v>
      </c>
    </row>
    <row r="175" spans="1:9" ht="25.5">
      <c r="A175" t="str">
        <f t="shared" si="2"/>
        <v>Resistencia axial - Hormigón</v>
      </c>
      <c r="D175" t="s">
        <v>447</v>
      </c>
      <c r="E175" t="s">
        <v>610</v>
      </c>
      <c r="F175" s="156" t="s">
        <v>1191</v>
      </c>
      <c r="G175" s="156" t="s">
        <v>1192</v>
      </c>
      <c r="H175" s="156" t="s">
        <v>1193</v>
      </c>
      <c r="I175" s="156" t="s">
        <v>1194</v>
      </c>
    </row>
    <row r="176" spans="1:9" ht="25.5">
      <c r="A176" t="str">
        <f t="shared" si="2"/>
        <v>Resistencia axial - Madera</v>
      </c>
      <c r="D176" t="s">
        <v>448</v>
      </c>
      <c r="E176" t="s">
        <v>611</v>
      </c>
      <c r="F176" s="156" t="s">
        <v>1195</v>
      </c>
      <c r="G176" s="156" t="s">
        <v>1196</v>
      </c>
      <c r="H176" s="156" t="s">
        <v>1197</v>
      </c>
      <c r="I176" s="156" t="s">
        <v>1198</v>
      </c>
    </row>
    <row r="177" spans="1:9" ht="25.5">
      <c r="A177" t="str">
        <f t="shared" si="2"/>
        <v>Resistencia al corte - Madera</v>
      </c>
      <c r="D177" t="s">
        <v>449</v>
      </c>
      <c r="E177" t="s">
        <v>612</v>
      </c>
      <c r="F177" s="156" t="s">
        <v>1199</v>
      </c>
      <c r="G177" s="156" t="s">
        <v>1200</v>
      </c>
      <c r="H177" s="156" t="s">
        <v>1201</v>
      </c>
      <c r="I177" s="156" t="s">
        <v>1202</v>
      </c>
    </row>
    <row r="178" spans="1:9" ht="25.5">
      <c r="A178" t="str">
        <f t="shared" si="2"/>
        <v>Resistencia al corte - Acero</v>
      </c>
      <c r="D178" t="s">
        <v>450</v>
      </c>
      <c r="E178" t="s">
        <v>613</v>
      </c>
      <c r="F178" s="156" t="s">
        <v>1203</v>
      </c>
      <c r="G178" s="156" t="s">
        <v>1204</v>
      </c>
      <c r="H178" s="156" t="s">
        <v>1205</v>
      </c>
      <c r="I178" s="156" t="s">
        <v>1206</v>
      </c>
    </row>
    <row r="179" spans="1:9" ht="25.5">
      <c r="A179" t="str">
        <f t="shared" si="2"/>
        <v>Rigidez lateral para un solo tornillo</v>
      </c>
      <c r="D179" t="s">
        <v>451</v>
      </c>
      <c r="E179" t="s">
        <v>614</v>
      </c>
      <c r="F179" s="156" t="s">
        <v>1207</v>
      </c>
      <c r="G179" s="156" t="s">
        <v>1208</v>
      </c>
      <c r="H179" s="156" t="s">
        <v>1209</v>
      </c>
      <c r="I179" s="156" t="s">
        <v>1210</v>
      </c>
    </row>
    <row r="180" spans="1:9">
      <c r="A180" t="str">
        <f t="shared" si="2"/>
        <v>NOTAS</v>
      </c>
      <c r="D180" s="153" t="s">
        <v>452</v>
      </c>
      <c r="E180" s="153" t="s">
        <v>615</v>
      </c>
      <c r="F180" s="200" t="s">
        <v>1211</v>
      </c>
      <c r="G180" s="200" t="s">
        <v>1212</v>
      </c>
      <c r="H180" s="200" t="s">
        <v>615</v>
      </c>
      <c r="I180" s="200" t="s">
        <v>1212</v>
      </c>
    </row>
    <row r="181" spans="1:9" ht="76.5">
      <c r="A181" t="str">
        <f t="shared" si="2"/>
        <v>Antes de la construcción, todos los cálculos deben ser comprobados y aprobados por el proyectista responsable.</v>
      </c>
      <c r="D181" t="s">
        <v>453</v>
      </c>
      <c r="E181" t="s">
        <v>616</v>
      </c>
      <c r="F181" s="156" t="s">
        <v>1213</v>
      </c>
      <c r="G181" s="156" t="s">
        <v>1214</v>
      </c>
      <c r="H181" s="156" t="s">
        <v>1215</v>
      </c>
      <c r="I181" s="156" t="s">
        <v>1216</v>
      </c>
    </row>
    <row r="182" spans="1:9" ht="63.75">
      <c r="A182" t="str">
        <f t="shared" si="2"/>
        <v>Los valores de resistencia mecánica y la geometría se refieren a la certificación del producto.</v>
      </c>
      <c r="D182" t="s">
        <v>454</v>
      </c>
      <c r="E182" t="s">
        <v>617</v>
      </c>
      <c r="F182" s="156" t="s">
        <v>1217</v>
      </c>
      <c r="G182" s="156" t="s">
        <v>1218</v>
      </c>
      <c r="H182" s="156" t="s">
        <v>1219</v>
      </c>
      <c r="I182" s="156" t="s">
        <v>1220</v>
      </c>
    </row>
    <row r="183" spans="1:9" ht="102">
      <c r="A183" t="str">
        <f t="shared" si="2"/>
        <v>La comprobación de la resistencia del sistema lado anclaje al hormigón deberá realizarse por separado siguiendo las indicaciones de ETA-22/0806 - Annex E1.</v>
      </c>
      <c r="D183" t="s">
        <v>659</v>
      </c>
      <c r="E183" t="s">
        <v>658</v>
      </c>
      <c r="F183" s="156" t="s">
        <v>1221</v>
      </c>
      <c r="G183" s="156" t="s">
        <v>1222</v>
      </c>
      <c r="H183" s="156" t="s">
        <v>1223</v>
      </c>
      <c r="I183" s="156" t="s">
        <v>1224</v>
      </c>
    </row>
    <row r="184" spans="1:9" ht="229.5">
      <c r="A184" t="str">
        <f t="shared" si="2"/>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D184" t="s">
        <v>455</v>
      </c>
      <c r="E184" t="s">
        <v>618</v>
      </c>
      <c r="F184" s="156" t="s">
        <v>1225</v>
      </c>
      <c r="G184" s="156" t="s">
        <v>1226</v>
      </c>
      <c r="H184" s="156" t="s">
        <v>1227</v>
      </c>
      <c r="I184" s="156" t="s">
        <v>1228</v>
      </c>
    </row>
    <row r="185" spans="1:9" ht="409.5">
      <c r="A185" t="str">
        <f t="shared" si="2"/>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D185" t="s">
        <v>456</v>
      </c>
      <c r="E185" t="s">
        <v>619</v>
      </c>
      <c r="F185" s="156" t="s">
        <v>1229</v>
      </c>
      <c r="G185" s="156" t="s">
        <v>1230</v>
      </c>
      <c r="H185" s="156" t="s">
        <v>1231</v>
      </c>
      <c r="I185" s="156" t="s">
        <v>1232</v>
      </c>
    </row>
    <row r="186" spans="1:9">
      <c r="A186" t="str">
        <f t="shared" si="2"/>
        <v>(flexión de vigas de hormigón)</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ES</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CONDICIONES GENERALES DEL CONTRATO DE LICENCIA DE USO PARA LA HOJA DE CÁLCULO “TC_FUSION_CALCULATOR”</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OBJETO</v>
      </c>
      <c r="D191" s="154" t="s">
        <v>457</v>
      </c>
      <c r="E191" s="154" t="s">
        <v>641</v>
      </c>
      <c r="F191" s="193" t="s">
        <v>1237</v>
      </c>
      <c r="G191" s="193" t="s">
        <v>1238</v>
      </c>
      <c r="H191" s="193" t="s">
        <v>1239</v>
      </c>
      <c r="I191" s="193" t="s">
        <v>1238</v>
      </c>
    </row>
    <row r="192" spans="1:9" ht="409.5">
      <c r="A192" t="str">
        <f t="shared" si="3"/>
        <v>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v>
      </c>
      <c r="D192" s="154" t="s">
        <v>458</v>
      </c>
      <c r="E192" s="154" t="s">
        <v>621</v>
      </c>
      <c r="F192" s="193" t="s">
        <v>1240</v>
      </c>
      <c r="G192" s="193" t="s">
        <v>1241</v>
      </c>
      <c r="H192" s="193" t="s">
        <v>1242</v>
      </c>
      <c r="I192" s="193" t="s">
        <v>1243</v>
      </c>
    </row>
    <row r="193" spans="1:9" ht="25.5">
      <c r="A193" t="str">
        <f t="shared" si="3"/>
        <v>2. REFERENCIAS TÉCNICAS</v>
      </c>
      <c r="D193" s="154" t="s">
        <v>459</v>
      </c>
      <c r="E193" s="154" t="s">
        <v>622</v>
      </c>
      <c r="F193" s="193" t="s">
        <v>1244</v>
      </c>
      <c r="G193" s="193" t="s">
        <v>1245</v>
      </c>
      <c r="H193" s="193" t="s">
        <v>1246</v>
      </c>
      <c r="I193" s="193" t="s">
        <v>1247</v>
      </c>
    </row>
    <row r="194" spans="1:9" ht="255">
      <c r="A194" t="str">
        <f t="shared" si="3"/>
        <v>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v>
      </c>
      <c r="D194" s="154" t="s">
        <v>647</v>
      </c>
      <c r="E194" s="154" t="s">
        <v>648</v>
      </c>
      <c r="F194" s="193" t="s">
        <v>1248</v>
      </c>
      <c r="G194" s="193" t="s">
        <v>1249</v>
      </c>
      <c r="H194" s="193" t="s">
        <v>1250</v>
      </c>
      <c r="I194" s="193" t="s">
        <v>1251</v>
      </c>
    </row>
    <row r="195" spans="1:9" ht="25.5">
      <c r="A195" t="str">
        <f t="shared" si="3"/>
        <v>3. DERECHOS Y OBLIGACIONES DE RB</v>
      </c>
      <c r="D195" s="154" t="s">
        <v>460</v>
      </c>
      <c r="E195" s="154" t="s">
        <v>623</v>
      </c>
      <c r="F195" s="193" t="s">
        <v>1252</v>
      </c>
      <c r="G195" s="193" t="s">
        <v>1253</v>
      </c>
      <c r="H195" s="193" t="s">
        <v>1254</v>
      </c>
      <c r="I195" s="193" t="s">
        <v>1255</v>
      </c>
    </row>
    <row r="196" spans="1:9" ht="409.5">
      <c r="A196" t="str">
        <f t="shared" si="3"/>
        <v>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v>
      </c>
      <c r="D196" s="154" t="s">
        <v>461</v>
      </c>
      <c r="E196" s="154" t="s">
        <v>624</v>
      </c>
      <c r="F196" s="193" t="s">
        <v>1256</v>
      </c>
      <c r="G196" s="193" t="s">
        <v>1257</v>
      </c>
      <c r="H196" s="193" t="s">
        <v>1258</v>
      </c>
      <c r="I196" s="193" t="s">
        <v>1259</v>
      </c>
    </row>
    <row r="197" spans="1:9" ht="38.25">
      <c r="A197" t="str">
        <f t="shared" si="3"/>
        <v>4. DERECHOS Y OBLIGACIONES DEL USUARIO</v>
      </c>
      <c r="D197" s="154" t="s">
        <v>462</v>
      </c>
      <c r="E197" s="154" t="s">
        <v>625</v>
      </c>
      <c r="F197" s="193" t="s">
        <v>1260</v>
      </c>
      <c r="G197" s="193" t="s">
        <v>1261</v>
      </c>
      <c r="H197" s="193" t="s">
        <v>1262</v>
      </c>
      <c r="I197" s="193" t="s">
        <v>1263</v>
      </c>
    </row>
    <row r="198" spans="1:9" ht="409.5">
      <c r="A198" t="str">
        <f t="shared" si="3"/>
        <v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v>
      </c>
      <c r="D198" s="154" t="s">
        <v>463</v>
      </c>
      <c r="E198" s="154" t="s">
        <v>626</v>
      </c>
      <c r="F198" s="193" t="s">
        <v>1264</v>
      </c>
      <c r="G198" s="193" t="s">
        <v>1265</v>
      </c>
      <c r="H198" s="193" t="s">
        <v>1266</v>
      </c>
      <c r="I198" s="193" t="s">
        <v>1267</v>
      </c>
    </row>
    <row r="199" spans="1:9">
      <c r="A199" t="str">
        <f t="shared" si="3"/>
        <v>5. DERECHOS DE AUTOR</v>
      </c>
      <c r="D199" s="154" t="s">
        <v>464</v>
      </c>
      <c r="E199" s="154" t="s">
        <v>627</v>
      </c>
      <c r="F199" s="193" t="s">
        <v>1268</v>
      </c>
      <c r="G199" s="193" t="s">
        <v>1269</v>
      </c>
      <c r="H199" s="193" t="s">
        <v>1270</v>
      </c>
      <c r="I199" s="193" t="s">
        <v>1271</v>
      </c>
    </row>
    <row r="200" spans="1:9" ht="280.5">
      <c r="A200" t="str">
        <f t="shared" si="3"/>
        <v>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v>
      </c>
      <c r="D200" s="154" t="s">
        <v>465</v>
      </c>
      <c r="E200" s="154" t="s">
        <v>628</v>
      </c>
      <c r="F200" s="193" t="s">
        <v>1272</v>
      </c>
      <c r="G200" s="193" t="s">
        <v>1273</v>
      </c>
      <c r="H200" s="193" t="s">
        <v>1274</v>
      </c>
      <c r="I200" s="193" t="s">
        <v>1275</v>
      </c>
    </row>
    <row r="201" spans="1:9" ht="38.25">
      <c r="A201" t="str">
        <f t="shared" si="3"/>
        <v xml:space="preserve">6. DURACIÓN, RESCISIÓN Y TERMINACIÓN </v>
      </c>
      <c r="D201" s="154" t="s">
        <v>466</v>
      </c>
      <c r="E201" s="154" t="s">
        <v>629</v>
      </c>
      <c r="F201" s="193" t="s">
        <v>1276</v>
      </c>
      <c r="G201" s="193" t="s">
        <v>1277</v>
      </c>
      <c r="H201" s="193" t="s">
        <v>1278</v>
      </c>
      <c r="I201" s="193" t="s">
        <v>1279</v>
      </c>
    </row>
    <row r="202" spans="1:9" ht="409.5">
      <c r="A202" t="str">
        <f t="shared" si="3"/>
        <v>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v>
      </c>
      <c r="D202" s="154" t="s">
        <v>467</v>
      </c>
      <c r="E202" s="154" t="s">
        <v>630</v>
      </c>
      <c r="F202" s="193" t="s">
        <v>1280</v>
      </c>
      <c r="G202" s="193" t="s">
        <v>1281</v>
      </c>
      <c r="H202" s="193" t="s">
        <v>1282</v>
      </c>
      <c r="I202" s="193" t="s">
        <v>1283</v>
      </c>
    </row>
    <row r="203" spans="1:9">
      <c r="A203" t="str">
        <f t="shared" si="3"/>
        <v>7. RESPONSABILIDAD</v>
      </c>
      <c r="D203" s="154" t="s">
        <v>468</v>
      </c>
      <c r="E203" s="154" t="s">
        <v>631</v>
      </c>
      <c r="F203" s="193" t="s">
        <v>1284</v>
      </c>
      <c r="G203" s="193" t="s">
        <v>1285</v>
      </c>
      <c r="H203" s="193" t="s">
        <v>1286</v>
      </c>
      <c r="I203" s="193" t="s">
        <v>1287</v>
      </c>
    </row>
    <row r="204" spans="1:9" ht="409.5">
      <c r="A204" t="str">
        <f t="shared" si="3"/>
        <v>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v>
      </c>
      <c r="D204" s="154" t="s">
        <v>469</v>
      </c>
      <c r="E204" s="154" t="s">
        <v>632</v>
      </c>
      <c r="F204" s="193" t="s">
        <v>1288</v>
      </c>
      <c r="G204" s="193" t="s">
        <v>1289</v>
      </c>
      <c r="H204" s="193" t="s">
        <v>1290</v>
      </c>
      <c r="I204" s="193" t="s">
        <v>1291</v>
      </c>
    </row>
    <row r="205" spans="1:9">
      <c r="A205" t="str">
        <f t="shared" si="3"/>
        <v>8. REEMBOLSO</v>
      </c>
      <c r="D205" s="154" t="s">
        <v>470</v>
      </c>
      <c r="E205" s="154" t="s">
        <v>633</v>
      </c>
      <c r="F205" s="193" t="s">
        <v>1292</v>
      </c>
      <c r="G205" s="193" t="s">
        <v>1293</v>
      </c>
      <c r="H205" s="193" t="s">
        <v>1294</v>
      </c>
      <c r="I205" s="193" t="s">
        <v>1293</v>
      </c>
    </row>
    <row r="206" spans="1:9" ht="369.75">
      <c r="A206" t="str">
        <f t="shared" si="3"/>
        <v>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v>
      </c>
      <c r="D206" s="154" t="s">
        <v>471</v>
      </c>
      <c r="E206" s="154" t="s">
        <v>634</v>
      </c>
      <c r="F206" s="193" t="s">
        <v>1295</v>
      </c>
      <c r="G206" s="193" t="s">
        <v>1296</v>
      </c>
      <c r="H206" s="193" t="s">
        <v>1297</v>
      </c>
      <c r="I206" s="193" t="s">
        <v>1298</v>
      </c>
    </row>
    <row r="207" spans="1:9" ht="25.5">
      <c r="A207" t="str">
        <f t="shared" si="3"/>
        <v>9. DISPOSICIONES VARIAS</v>
      </c>
      <c r="D207" s="154" t="s">
        <v>472</v>
      </c>
      <c r="E207" s="154" t="s">
        <v>635</v>
      </c>
      <c r="F207" s="193" t="s">
        <v>1299</v>
      </c>
      <c r="G207" s="193" t="s">
        <v>1300</v>
      </c>
      <c r="H207" s="193" t="s">
        <v>1301</v>
      </c>
      <c r="I207" s="193" t="s">
        <v>1302</v>
      </c>
    </row>
    <row r="208" spans="1:9" ht="165.75">
      <c r="A208" t="str">
        <f t="shared" si="3"/>
        <v>Estas condiciones generales constituyen el acuerdo completo entre RB y el usuario por lo que respecta al asunto en cuestión y sustituyen todos los acuerdos anteriores, tanto orales como escritos, así como cualquier acuerdo entre RB y el usuario.</v>
      </c>
      <c r="D208" s="154" t="s">
        <v>473</v>
      </c>
      <c r="E208" s="154" t="s">
        <v>636</v>
      </c>
      <c r="F208" s="193" t="s">
        <v>1303</v>
      </c>
      <c r="G208" s="193" t="s">
        <v>1304</v>
      </c>
      <c r="H208" s="193" t="s">
        <v>1305</v>
      </c>
      <c r="I208" s="193" t="s">
        <v>1306</v>
      </c>
    </row>
    <row r="209" spans="1:9">
      <c r="A209" t="str">
        <f t="shared" si="3"/>
        <v>10. IDIOMA</v>
      </c>
      <c r="D209" s="154" t="s">
        <v>474</v>
      </c>
      <c r="E209" s="154" t="s">
        <v>637</v>
      </c>
      <c r="F209" s="193" t="s">
        <v>1307</v>
      </c>
      <c r="G209" s="193" t="s">
        <v>1308</v>
      </c>
      <c r="H209" s="193" t="s">
        <v>1309</v>
      </c>
      <c r="I209" s="193" t="s">
        <v>1308</v>
      </c>
    </row>
    <row r="210" spans="1:9" ht="140.25">
      <c r="A210" t="str">
        <f t="shared" si="3"/>
        <v>En caso de diferencias entre las versiones de estas condiciones en los distintos idiomas, el texto italiano es vinculante y prevalece con respecto a las traducciones.</v>
      </c>
      <c r="D210" s="154" t="s">
        <v>475</v>
      </c>
      <c r="E210" s="154" t="s">
        <v>638</v>
      </c>
      <c r="F210" s="193" t="s">
        <v>1310</v>
      </c>
      <c r="G210" s="193" t="s">
        <v>1311</v>
      </c>
      <c r="H210" s="193" t="s">
        <v>1312</v>
      </c>
      <c r="I210" s="193" t="s">
        <v>1313</v>
      </c>
    </row>
    <row r="211" spans="1:9" ht="38.25">
      <c r="A211" t="str">
        <f t="shared" si="3"/>
        <v>11. DERECHO APLICABLE Y TRIBUNAL COMPETENTE</v>
      </c>
      <c r="D211" s="154" t="s">
        <v>476</v>
      </c>
      <c r="E211" s="154" t="s">
        <v>639</v>
      </c>
      <c r="F211" s="193" t="s">
        <v>1314</v>
      </c>
      <c r="G211" s="193" t="s">
        <v>1315</v>
      </c>
      <c r="H211" s="193" t="s">
        <v>1316</v>
      </c>
      <c r="I211" s="193" t="s">
        <v>1317</v>
      </c>
    </row>
    <row r="212" spans="1:9" ht="229.5">
      <c r="A212" t="str">
        <f t="shared" si="3"/>
        <v>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v>
      </c>
      <c r="D212" s="154" t="s">
        <v>477</v>
      </c>
      <c r="E212" s="154" t="s">
        <v>640</v>
      </c>
      <c r="F212" s="193" t="s">
        <v>1318</v>
      </c>
      <c r="G212" s="193" t="s">
        <v>1319</v>
      </c>
      <c r="H212" s="193" t="s">
        <v>1320</v>
      </c>
      <c r="I212" s="193" t="s">
        <v>1321</v>
      </c>
    </row>
    <row r="213" spans="1:9">
      <c r="A213" t="str">
        <f t="shared" si="3"/>
        <v>12. PRIVACIDAD</v>
      </c>
      <c r="D213" s="154" t="s">
        <v>478</v>
      </c>
      <c r="E213" s="154" t="s">
        <v>478</v>
      </c>
      <c r="F213" s="193" t="s">
        <v>1322</v>
      </c>
      <c r="G213" s="193" t="s">
        <v>1323</v>
      </c>
      <c r="H213" s="193" t="s">
        <v>1324</v>
      </c>
      <c r="I213" s="193" t="s">
        <v>1325</v>
      </c>
    </row>
    <row r="214" spans="1:9" ht="51">
      <c r="A214" t="str">
        <f t="shared" si="3"/>
        <v>Véase la política de privacidad disponible en el enlace:</v>
      </c>
      <c r="D214" s="154" t="s">
        <v>482</v>
      </c>
      <c r="E214" s="154" t="s">
        <v>642</v>
      </c>
      <c r="F214" s="193" t="s">
        <v>1326</v>
      </c>
      <c r="G214" s="193" t="s">
        <v>1327</v>
      </c>
      <c r="H214" s="193" t="s">
        <v>1328</v>
      </c>
      <c r="I214" s="193" t="s">
        <v>1329</v>
      </c>
    </row>
    <row r="215" spans="1:9">
      <c r="A215" t="str">
        <f t="shared" si="3"/>
        <v>ACEPTADA</v>
      </c>
      <c r="D215" s="154" t="s">
        <v>481</v>
      </c>
      <c r="E215" s="154" t="s">
        <v>643</v>
      </c>
      <c r="F215" s="193" t="s">
        <v>1330</v>
      </c>
      <c r="G215" s="193" t="s">
        <v>1331</v>
      </c>
      <c r="H215" s="193" t="s">
        <v>1332</v>
      </c>
      <c r="I215" s="193" t="s">
        <v>1333</v>
      </c>
    </row>
    <row r="216" spans="1:9">
      <c r="A216" t="str">
        <f t="shared" si="3"/>
        <v>Idioma</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ES</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Para diámetros de los áridos superiores a 15 mm, evaluar las condiciones de vertido del hormigón</v>
      </c>
      <c r="D221" t="s">
        <v>649</v>
      </c>
      <c r="E221" t="s">
        <v>655</v>
      </c>
      <c r="F221" s="156" t="s">
        <v>1334</v>
      </c>
      <c r="G221" s="156" t="s">
        <v>1335</v>
      </c>
      <c r="H221" s="156" t="s">
        <v>1336</v>
      </c>
      <c r="I221" s="156" t="s">
        <v>1337</v>
      </c>
    </row>
    <row r="222" spans="1:9" ht="76.5">
      <c r="A222" t="str">
        <f>IF($B$220=$D$220,D222,IF($B$220=$E$220,E222,IF($B$220=$F$220,F222,IF($B$220=$G$220,G222,IF($B$220=$H$220,H222,IF($B$220=$I$220,I222,"ERROR"))))))</f>
        <v>(*) Duplicar la rigidez en caso de conexión no simétrica con un solo plano de conexión</v>
      </c>
      <c r="D222" t="s">
        <v>657</v>
      </c>
      <c r="E222" t="s">
        <v>656</v>
      </c>
      <c r="F222" s="156" t="s">
        <v>1338</v>
      </c>
      <c r="G222" s="156" t="s">
        <v>1339</v>
      </c>
      <c r="H222" s="156" t="s">
        <v>1340</v>
      </c>
      <c r="I222" s="156" t="s">
        <v>1341</v>
      </c>
    </row>
    <row r="223" spans="1:9" ht="25.5">
      <c r="A223" t="str">
        <f>IF($B$220=$D$220,D223,IF($B$220=$E$220,E223,IF($B$220=$F$220,F223,IF($B$220=$G$220,G223,IF($B$220=$H$220,H223,IF($B$220=$I$220,I223,"ERROR"))))))</f>
        <v>Recubrimiento mínimo requerido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Madera</v>
      </c>
      <c r="D224" t="s">
        <v>678</v>
      </c>
      <c r="E224" t="s">
        <v>679</v>
      </c>
      <c r="F224" s="156" t="s">
        <v>1346</v>
      </c>
      <c r="G224" s="156" t="s">
        <v>1347</v>
      </c>
      <c r="H224" s="156" t="s">
        <v>1348</v>
      </c>
      <c r="I224" s="156" t="s">
        <v>1349</v>
      </c>
    </row>
    <row r="225" spans="1:9">
      <c r="A225" t="str">
        <f t="shared" si="4"/>
        <v>Hormigón</v>
      </c>
      <c r="D225" t="s">
        <v>23</v>
      </c>
      <c r="E225" t="s">
        <v>327</v>
      </c>
      <c r="F225" s="156" t="s">
        <v>846</v>
      </c>
      <c r="G225" s="156" t="s">
        <v>847</v>
      </c>
      <c r="H225" s="156" t="s">
        <v>848</v>
      </c>
      <c r="I225" s="156" t="s">
        <v>849</v>
      </c>
    </row>
    <row r="226" spans="1:9">
      <c r="A226" t="str">
        <f t="shared" si="4"/>
        <v>Coeficiente</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NOTAS</v>
      </c>
    </row>
    <row r="367" spans="1:1" ht="15" customHeight="1">
      <c r="A367" t="str">
        <f>traduzioni!A181</f>
        <v>Antes de la construcción, todos los cálculos deben ser comprobados y aprobados por el proyectista responsable.</v>
      </c>
    </row>
    <row r="368" spans="1:1" ht="15" customHeight="1">
      <c r="A368" t="str">
        <f>traduzioni!A182</f>
        <v>Los valores de resistencia mecánica y la geometría se refieren a la certificación del producto.</v>
      </c>
    </row>
    <row r="369" spans="1:20" ht="15" customHeight="1">
      <c r="A369" t="str">
        <f>traduzioni!A183</f>
        <v>La comprobación de la resistencia del sistema lado anclaje al hormigón deberá realizarse por separado siguiendo las indicaciones de ETA-22/0806 - Annex E1.</v>
      </c>
    </row>
    <row r="370" spans="1:20" ht="30" customHeight="1">
      <c r="A370" s="211" t="str">
        <f>traduzioni!A184</f>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7" t="s">
        <v>1432</v>
      </c>
      <c r="E2" s="158" t="str">
        <f>traduzioni!A216</f>
        <v>Idioma</v>
      </c>
      <c r="F2" s="157"/>
    </row>
    <row r="3" spans="1:11">
      <c r="A3" s="157"/>
      <c r="B3" s="157"/>
      <c r="C3" s="157"/>
      <c r="D3" s="217"/>
      <c r="E3" s="218" t="s">
        <v>672</v>
      </c>
      <c r="F3" s="157"/>
    </row>
    <row r="4" spans="1:11">
      <c r="A4" s="157"/>
      <c r="B4" s="157"/>
      <c r="C4" s="157"/>
      <c r="D4" s="217"/>
      <c r="E4" s="218"/>
      <c r="F4" s="157"/>
    </row>
    <row r="5" spans="1:11">
      <c r="A5" s="157"/>
      <c r="B5" s="157"/>
      <c r="C5" s="157"/>
      <c r="D5" s="157"/>
      <c r="E5" s="157"/>
      <c r="F5" s="157"/>
    </row>
    <row r="6" spans="1:11" ht="15.75">
      <c r="A6" s="157"/>
      <c r="B6" s="157"/>
      <c r="C6" s="157"/>
      <c r="D6" s="159" t="s">
        <v>480</v>
      </c>
      <c r="E6" s="157"/>
      <c r="F6" s="157"/>
    </row>
    <row r="7" spans="1:11">
      <c r="A7" s="157"/>
      <c r="B7" s="157"/>
      <c r="C7" s="216" t="str">
        <f>traduzioni!A190</f>
        <v>CONDICIONES GENERALES DEL CONTRATO DE LICENCIA DE USO PARA LA HOJA DE CÁLCULO “TC_FUSION_CALCULATOR”</v>
      </c>
      <c r="D7" s="216"/>
      <c r="E7" s="216"/>
      <c r="F7" s="157"/>
    </row>
    <row r="8" spans="1:11" ht="18" customHeight="1">
      <c r="A8" s="157"/>
      <c r="B8" s="157"/>
      <c r="C8" s="216"/>
      <c r="D8" s="216"/>
      <c r="E8" s="216"/>
      <c r="F8" s="157"/>
    </row>
    <row r="9" spans="1:11" ht="18" customHeight="1">
      <c r="A9" s="157"/>
      <c r="B9" s="157"/>
      <c r="C9" s="216"/>
      <c r="D9" s="216"/>
      <c r="E9" s="216"/>
      <c r="F9" s="157"/>
    </row>
    <row r="10" spans="1:11">
      <c r="A10" s="157"/>
      <c r="B10" s="157"/>
      <c r="C10" s="157"/>
      <c r="D10" s="157"/>
      <c r="E10" s="157"/>
      <c r="F10" s="157"/>
    </row>
    <row r="11" spans="1:11">
      <c r="A11" s="68"/>
      <c r="B11" s="68"/>
      <c r="C11" s="68"/>
      <c r="D11" s="68"/>
      <c r="E11" s="68"/>
      <c r="F11" s="68"/>
    </row>
    <row r="12" spans="1:11" ht="14.25">
      <c r="A12" s="68"/>
      <c r="B12" s="160" t="str">
        <f>traduzioni!A191</f>
        <v>1. OBJETO</v>
      </c>
      <c r="C12" s="68"/>
      <c r="D12" s="68"/>
      <c r="E12" s="68"/>
      <c r="F12" s="68"/>
    </row>
    <row r="13" spans="1:11">
      <c r="A13" s="68"/>
      <c r="B13" s="68"/>
      <c r="C13" s="161"/>
      <c r="D13" s="161"/>
      <c r="E13" s="161"/>
      <c r="F13" s="68"/>
    </row>
    <row r="14" spans="1:11" ht="200.1" customHeight="1">
      <c r="A14" s="68"/>
      <c r="B14" s="68"/>
      <c r="C14" s="214" t="str">
        <f>traduzioni!A192</f>
        <v>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v>
      </c>
      <c r="D14" s="214"/>
      <c r="E14" s="214"/>
      <c r="F14" s="68"/>
      <c r="K14" s="155"/>
    </row>
    <row r="15" spans="1:11">
      <c r="A15" s="68"/>
      <c r="B15" s="68"/>
      <c r="C15" s="163"/>
      <c r="D15" s="161"/>
      <c r="E15" s="161"/>
      <c r="F15" s="68"/>
    </row>
    <row r="16" spans="1:11" ht="14.25">
      <c r="A16" s="68"/>
      <c r="B16" s="160" t="str">
        <f>traduzioni!A193</f>
        <v>2. REFERENCIAS TÉCNICAS</v>
      </c>
      <c r="C16" s="163"/>
      <c r="D16" s="161"/>
      <c r="E16" s="161"/>
      <c r="F16" s="68"/>
    </row>
    <row r="17" spans="1:9">
      <c r="A17" s="68"/>
      <c r="B17" s="68"/>
      <c r="C17" s="163"/>
      <c r="D17" s="161"/>
      <c r="E17" s="161"/>
      <c r="F17" s="68"/>
    </row>
    <row r="18" spans="1:9" ht="39.950000000000003" customHeight="1">
      <c r="A18" s="68"/>
      <c r="B18" s="164"/>
      <c r="C18" s="215" t="str">
        <f>traduzioni!A194</f>
        <v>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v>
      </c>
      <c r="D18" s="215"/>
      <c r="E18" s="215"/>
      <c r="F18" s="68"/>
      <c r="I18" s="156"/>
    </row>
    <row r="19" spans="1:9">
      <c r="A19" s="68"/>
      <c r="B19" s="68"/>
      <c r="C19" s="162"/>
      <c r="D19" s="161"/>
      <c r="E19" s="161"/>
      <c r="F19" s="68"/>
    </row>
    <row r="20" spans="1:9" ht="14.25">
      <c r="A20" s="68"/>
      <c r="B20" s="160" t="str">
        <f>traduzioni!A195</f>
        <v>3. DERECHOS Y OBLIGACIONES DE RB</v>
      </c>
      <c r="C20" s="163"/>
      <c r="D20" s="161"/>
      <c r="E20" s="161"/>
      <c r="F20" s="68"/>
    </row>
    <row r="21" spans="1:9">
      <c r="A21" s="68"/>
      <c r="B21" s="68"/>
      <c r="C21" s="163"/>
      <c r="D21" s="161"/>
      <c r="E21" s="161"/>
      <c r="F21" s="68"/>
    </row>
    <row r="22" spans="1:9" ht="153" customHeight="1">
      <c r="A22" s="68"/>
      <c r="B22" s="68"/>
      <c r="C22" s="214" t="str">
        <f>traduzioni!A196</f>
        <v>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v>
      </c>
      <c r="D22" s="214"/>
      <c r="E22" s="214"/>
      <c r="F22" s="68"/>
    </row>
    <row r="23" spans="1:9">
      <c r="A23" s="68"/>
      <c r="B23" s="68"/>
      <c r="C23" s="162"/>
      <c r="D23" s="161"/>
      <c r="E23" s="161"/>
      <c r="F23" s="68"/>
    </row>
    <row r="24" spans="1:9" ht="14.25">
      <c r="A24" s="68"/>
      <c r="B24" s="160" t="str">
        <f>traduzioni!A197</f>
        <v>4. DERECHOS Y OBLIGACIONES DEL USUARIO</v>
      </c>
      <c r="C24" s="161"/>
      <c r="D24" s="161"/>
      <c r="E24" s="161"/>
      <c r="F24" s="68"/>
    </row>
    <row r="25" spans="1:9">
      <c r="A25" s="68"/>
      <c r="B25" s="68"/>
      <c r="C25" s="162"/>
      <c r="D25" s="161"/>
      <c r="E25" s="161"/>
      <c r="F25" s="68"/>
    </row>
    <row r="26" spans="1:9" ht="306" customHeight="1">
      <c r="A26" s="68"/>
      <c r="B26" s="68"/>
      <c r="C26" s="214" t="str">
        <f>traduzioni!A198</f>
        <v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v>
      </c>
      <c r="D26" s="214"/>
      <c r="E26" s="214"/>
      <c r="F26" s="68"/>
    </row>
    <row r="27" spans="1:9">
      <c r="A27" s="68"/>
      <c r="B27" s="68"/>
      <c r="C27" s="162"/>
      <c r="D27" s="161"/>
      <c r="E27" s="161"/>
      <c r="F27" s="68"/>
    </row>
    <row r="28" spans="1:9" ht="14.25">
      <c r="A28" s="68"/>
      <c r="B28" s="160" t="str">
        <f>traduzioni!A199</f>
        <v>5. DERECHOS DE AUTOR</v>
      </c>
      <c r="C28" s="161"/>
      <c r="D28" s="161"/>
      <c r="E28" s="161"/>
      <c r="F28" s="68"/>
    </row>
    <row r="29" spans="1:9">
      <c r="A29" s="68"/>
      <c r="B29" s="68"/>
      <c r="C29" s="162"/>
      <c r="D29" s="161"/>
      <c r="E29" s="161"/>
      <c r="F29" s="68"/>
    </row>
    <row r="30" spans="1:9" ht="63.95" customHeight="1">
      <c r="A30" s="68"/>
      <c r="B30" s="68"/>
      <c r="C30" s="214" t="str">
        <f>traduzioni!A200</f>
        <v>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v>
      </c>
      <c r="D30" s="214"/>
      <c r="E30" s="214"/>
      <c r="F30" s="68"/>
    </row>
    <row r="31" spans="1:9">
      <c r="A31" s="68"/>
      <c r="B31" s="68"/>
      <c r="C31" s="162"/>
      <c r="D31" s="161"/>
      <c r="E31" s="161"/>
      <c r="F31" s="68"/>
    </row>
    <row r="32" spans="1:9" ht="14.25">
      <c r="A32" s="68"/>
      <c r="B32" s="160" t="str">
        <f>traduzioni!A201</f>
        <v xml:space="preserve">6. DURACIÓN, RESCISIÓN Y TERMINACIÓN </v>
      </c>
      <c r="C32" s="161"/>
      <c r="D32" s="161"/>
      <c r="E32" s="161"/>
      <c r="F32" s="68"/>
    </row>
    <row r="33" spans="1:6">
      <c r="A33" s="68"/>
      <c r="B33" s="68"/>
      <c r="C33" s="162"/>
      <c r="D33" s="161"/>
      <c r="E33" s="161"/>
      <c r="F33" s="68"/>
    </row>
    <row r="34" spans="1:6" ht="102" customHeight="1">
      <c r="A34" s="68"/>
      <c r="B34" s="68"/>
      <c r="C34" s="214" t="str">
        <f>traduzioni!A202</f>
        <v>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v>
      </c>
      <c r="D34" s="214"/>
      <c r="E34" s="214"/>
      <c r="F34" s="68"/>
    </row>
    <row r="35" spans="1:6">
      <c r="A35" s="68"/>
      <c r="B35" s="68"/>
      <c r="C35" s="162"/>
      <c r="D35" s="161"/>
      <c r="E35" s="161"/>
      <c r="F35" s="68"/>
    </row>
    <row r="36" spans="1:6" ht="14.25">
      <c r="A36" s="68"/>
      <c r="B36" s="160" t="str">
        <f>traduzioni!A203</f>
        <v>7. RESPONSABILIDAD</v>
      </c>
      <c r="C36" s="161"/>
      <c r="D36" s="161"/>
      <c r="E36" s="161"/>
      <c r="F36" s="68"/>
    </row>
    <row r="37" spans="1:6">
      <c r="A37" s="68"/>
      <c r="B37" s="68"/>
      <c r="C37" s="162"/>
      <c r="D37" s="161"/>
      <c r="E37" s="161"/>
      <c r="F37" s="68"/>
    </row>
    <row r="38" spans="1:6" ht="280.5" customHeight="1">
      <c r="A38" s="68"/>
      <c r="B38" s="68"/>
      <c r="C38" s="214" t="str">
        <f>traduzioni!A204</f>
        <v>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v>
      </c>
      <c r="D38" s="214"/>
      <c r="E38" s="214"/>
      <c r="F38" s="68"/>
    </row>
    <row r="39" spans="1:6">
      <c r="A39" s="68"/>
      <c r="B39" s="68"/>
      <c r="C39" s="162"/>
      <c r="D39" s="161"/>
      <c r="E39" s="161"/>
      <c r="F39" s="68"/>
    </row>
    <row r="40" spans="1:6" ht="14.25">
      <c r="A40" s="68"/>
      <c r="B40" s="160" t="str">
        <f>traduzioni!A205</f>
        <v>8. REEMBOLSO</v>
      </c>
      <c r="C40" s="161"/>
      <c r="D40" s="161"/>
      <c r="E40" s="161"/>
      <c r="F40" s="68"/>
    </row>
    <row r="41" spans="1:6">
      <c r="A41" s="68"/>
      <c r="B41" s="68"/>
      <c r="C41" s="162"/>
      <c r="D41" s="161"/>
      <c r="E41" s="161"/>
      <c r="F41" s="68"/>
    </row>
    <row r="42" spans="1:6" ht="51" customHeight="1">
      <c r="A42" s="68"/>
      <c r="B42" s="68"/>
      <c r="C42" s="214" t="str">
        <f>traduzioni!A206</f>
        <v>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v>
      </c>
      <c r="D42" s="214"/>
      <c r="E42" s="214"/>
      <c r="F42" s="68"/>
    </row>
    <row r="43" spans="1:6">
      <c r="A43" s="68"/>
      <c r="B43" s="68"/>
      <c r="C43" s="162"/>
      <c r="D43" s="161"/>
      <c r="E43" s="161"/>
      <c r="F43" s="68"/>
    </row>
    <row r="44" spans="1:6" ht="14.25">
      <c r="A44" s="68"/>
      <c r="B44" s="160" t="str">
        <f>traduzioni!A207</f>
        <v>9. DISPOSICIONES VARIAS</v>
      </c>
      <c r="C44" s="161"/>
      <c r="D44" s="161"/>
      <c r="E44" s="161"/>
      <c r="F44" s="68"/>
    </row>
    <row r="45" spans="1:6">
      <c r="A45" s="68"/>
      <c r="B45" s="68"/>
      <c r="C45" s="162"/>
      <c r="D45" s="161"/>
      <c r="E45" s="161"/>
      <c r="F45" s="68"/>
    </row>
    <row r="46" spans="1:6" ht="25.5" customHeight="1">
      <c r="A46" s="68"/>
      <c r="B46" s="68"/>
      <c r="C46" s="214" t="str">
        <f>traduzioni!A208</f>
        <v>Estas condiciones generales constituyen el acuerdo completo entre RB y el usuario por lo que respecta al asunto en cuestión y sustituyen todos los acuerdos anteriores, tanto orales como escritos, así como cualquier acuerdo entre RB y el usuario.</v>
      </c>
      <c r="D46" s="214"/>
      <c r="E46" s="214"/>
      <c r="F46" s="68"/>
    </row>
    <row r="47" spans="1:6">
      <c r="A47" s="68"/>
      <c r="B47" s="68"/>
      <c r="C47" s="162"/>
      <c r="D47" s="161"/>
      <c r="E47" s="161"/>
      <c r="F47" s="68"/>
    </row>
    <row r="48" spans="1:6" ht="14.25">
      <c r="A48" s="68"/>
      <c r="B48" s="160" t="str">
        <f>traduzioni!A209</f>
        <v>10. IDIOMA</v>
      </c>
      <c r="C48" s="161"/>
      <c r="D48" s="161"/>
      <c r="E48" s="161"/>
      <c r="F48" s="68"/>
    </row>
    <row r="49" spans="1:10">
      <c r="A49" s="68"/>
      <c r="B49" s="68"/>
      <c r="C49" s="162"/>
      <c r="D49" s="161"/>
      <c r="E49" s="161"/>
      <c r="F49" s="68"/>
    </row>
    <row r="50" spans="1:10" ht="25.5" customHeight="1">
      <c r="A50" s="68"/>
      <c r="B50" s="68"/>
      <c r="C50" s="214" t="str">
        <f>traduzioni!A210</f>
        <v>En caso de diferencias entre las versiones de estas condiciones en los distintos idiomas, el texto italiano es vinculante y prevalece con respecto a las traducciones.</v>
      </c>
      <c r="D50" s="214"/>
      <c r="E50" s="214"/>
      <c r="F50" s="68"/>
    </row>
    <row r="51" spans="1:10">
      <c r="A51" s="68"/>
      <c r="B51" s="68"/>
      <c r="C51" s="162"/>
      <c r="D51" s="161"/>
      <c r="E51" s="161"/>
      <c r="F51" s="68"/>
    </row>
    <row r="52" spans="1:10" ht="14.25">
      <c r="A52" s="68"/>
      <c r="B52" s="160" t="str">
        <f>traduzioni!A211</f>
        <v>11. DERECHO APLICABLE Y TRIBUNAL COMPETENTE</v>
      </c>
      <c r="C52" s="161"/>
      <c r="D52" s="161"/>
      <c r="E52" s="161"/>
      <c r="F52" s="68"/>
      <c r="J52" s="165"/>
    </row>
    <row r="53" spans="1:10">
      <c r="A53" s="68"/>
      <c r="B53" s="68"/>
      <c r="C53" s="162"/>
      <c r="D53" s="161"/>
      <c r="E53" s="161"/>
      <c r="F53" s="68"/>
    </row>
    <row r="54" spans="1:10">
      <c r="A54" s="68"/>
      <c r="B54" s="68"/>
      <c r="C54" s="214" t="str">
        <f>traduzioni!A212</f>
        <v>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v>
      </c>
      <c r="D54" s="214"/>
      <c r="E54" s="214"/>
      <c r="F54" s="68"/>
    </row>
    <row r="55" spans="1:10">
      <c r="A55" s="68"/>
      <c r="B55" s="68"/>
      <c r="C55" s="162"/>
      <c r="D55" s="161"/>
      <c r="E55" s="161"/>
      <c r="F55" s="68"/>
    </row>
    <row r="56" spans="1:10" ht="14.25">
      <c r="A56" s="68"/>
      <c r="B56" s="160" t="str">
        <f>traduzioni!A213</f>
        <v>12. PRIVACIDAD</v>
      </c>
      <c r="C56" s="161"/>
      <c r="D56" s="161"/>
      <c r="E56" s="161"/>
      <c r="F56" s="68"/>
    </row>
    <row r="57" spans="1:10" ht="12.75" customHeight="1">
      <c r="A57" s="68"/>
      <c r="B57" s="68"/>
      <c r="C57" s="162"/>
      <c r="D57" s="161"/>
      <c r="E57" s="161"/>
      <c r="F57" s="68"/>
    </row>
    <row r="58" spans="1:10" ht="12.75" customHeight="1">
      <c r="A58" s="68"/>
      <c r="B58" s="68"/>
      <c r="C58" s="214" t="str">
        <f>traduzioni!A214</f>
        <v>Véase la política de privacidad disponible en el enlace:</v>
      </c>
      <c r="D58" s="214"/>
      <c r="E58" s="214"/>
      <c r="F58" s="68"/>
    </row>
    <row r="59" spans="1:10" ht="12.75" customHeight="1">
      <c r="A59" s="68"/>
      <c r="B59" s="68"/>
      <c r="C59" s="213" t="s">
        <v>483</v>
      </c>
      <c r="D59" s="214"/>
      <c r="E59" s="214"/>
      <c r="F59" s="68"/>
    </row>
    <row r="60" spans="1:10" ht="12.75" customHeight="1">
      <c r="A60" s="68"/>
      <c r="B60" s="68"/>
      <c r="C60" s="68"/>
      <c r="D60" s="68"/>
      <c r="E60" s="68"/>
      <c r="F60" s="68"/>
    </row>
    <row r="61" spans="1:10">
      <c r="A61" s="212" t="str">
        <f>traduzioni!A215</f>
        <v>ACEPTADA</v>
      </c>
      <c r="B61" s="212"/>
      <c r="C61" s="212"/>
      <c r="D61" s="212"/>
      <c r="E61" s="212"/>
      <c r="F61" s="212"/>
    </row>
    <row r="62" spans="1:10">
      <c r="A62" s="212"/>
      <c r="B62" s="212"/>
      <c r="C62" s="212"/>
      <c r="D62" s="212"/>
      <c r="E62" s="212"/>
      <c r="F62" s="212"/>
    </row>
    <row r="63" spans="1:10">
      <c r="A63" s="212"/>
      <c r="B63" s="212"/>
      <c r="C63" s="212"/>
      <c r="D63" s="212"/>
      <c r="E63" s="212"/>
      <c r="F63" s="212"/>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10" sqref="H10:K10"/>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CÁLCULO TC FUSION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 xml:space="preserve">Información general </v>
      </c>
      <c r="E8" s="70"/>
      <c r="F8" s="71"/>
      <c r="G8" s="71" t="str">
        <f>traduzioni!A6</f>
        <v>Fecha</v>
      </c>
      <c r="H8" s="72">
        <f ca="1">TODAY()</f>
        <v>45547</v>
      </c>
      <c r="I8" s="70"/>
      <c r="J8" s="70" t="str">
        <f>traduzioni!A216</f>
        <v>Idioma</v>
      </c>
      <c r="K8" s="176" t="s">
        <v>672</v>
      </c>
    </row>
    <row r="9" spans="4:11" ht="15" customHeight="1">
      <c r="D9" s="220"/>
      <c r="E9" s="35"/>
      <c r="F9" s="38"/>
      <c r="G9" s="38" t="str">
        <f>traduzioni!A7</f>
        <v>Proyecto</v>
      </c>
      <c r="H9" s="225"/>
      <c r="I9" s="226"/>
      <c r="J9" s="226"/>
      <c r="K9" s="227"/>
    </row>
    <row r="10" spans="4:11" ht="15" customHeight="1">
      <c r="D10" s="220"/>
      <c r="E10" s="35"/>
      <c r="F10" s="38"/>
      <c r="G10" s="38" t="str">
        <f>traduzioni!A8</f>
        <v>Proyectista</v>
      </c>
      <c r="H10" s="225"/>
      <c r="I10" s="226"/>
      <c r="J10" s="226"/>
      <c r="K10" s="227"/>
    </row>
    <row r="11" spans="4:11" ht="15" customHeight="1">
      <c r="D11" s="221"/>
      <c r="E11" s="73"/>
      <c r="F11" s="74"/>
      <c r="G11" s="74" t="str">
        <f>traduzioni!A9</f>
        <v>Conexión n.º</v>
      </c>
      <c r="H11" s="222"/>
      <c r="I11" s="223"/>
      <c r="J11" s="223"/>
      <c r="K11" s="224"/>
    </row>
    <row r="12" spans="4:11" ht="15" customHeight="1"/>
    <row r="13" spans="4:11" ht="15" customHeight="1">
      <c r="D13" s="219" t="str">
        <f>traduzioni!A10</f>
        <v>Normativa</v>
      </c>
      <c r="E13" s="134"/>
      <c r="F13" s="10"/>
      <c r="G13" s="71" t="s">
        <v>650</v>
      </c>
      <c r="H13" s="70" t="s">
        <v>1354</v>
      </c>
      <c r="I13" s="134"/>
      <c r="J13" s="134"/>
      <c r="K13" s="11"/>
    </row>
    <row r="14" spans="4:11" ht="15" customHeight="1">
      <c r="D14" s="220"/>
      <c r="E14" s="35"/>
      <c r="F14" s="38"/>
      <c r="G14" s="38" t="str">
        <f>traduzioni!A224</f>
        <v>Madera</v>
      </c>
      <c r="H14" s="177" t="s">
        <v>1352</v>
      </c>
      <c r="I14" s="38"/>
      <c r="J14" s="35"/>
      <c r="K14" s="79"/>
    </row>
    <row r="15" spans="4:11" ht="15" customHeight="1">
      <c r="D15" s="221"/>
      <c r="E15" s="73"/>
      <c r="F15" s="74"/>
      <c r="G15" s="74" t="str">
        <f>traduzioni!A225</f>
        <v>Hormigón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9" t="str">
        <f>traduzioni!A13</f>
        <v>Solicitaciones</v>
      </c>
      <c r="E19" s="70"/>
      <c r="F19" s="71"/>
      <c r="G19" s="71" t="str">
        <f>traduzioni!A14</f>
        <v xml:space="preserve">Duración de la carga </v>
      </c>
      <c r="H19" s="179" t="s">
        <v>765</v>
      </c>
      <c r="I19" s="70"/>
      <c r="J19" s="70"/>
      <c r="K19" s="75"/>
    </row>
    <row r="20" spans="1:11" ht="15" customHeight="1">
      <c r="D20" s="220"/>
      <c r="E20" s="35" t="s">
        <v>78</v>
      </c>
      <c r="F20" s="38"/>
      <c r="G20" s="38" t="str">
        <f>traduzioni!A226</f>
        <v>Coeficiente</v>
      </c>
      <c r="H20" s="81">
        <f>CLT!N12</f>
        <v>1</v>
      </c>
      <c r="I20" s="35"/>
      <c r="J20" s="35" t="s">
        <v>376</v>
      </c>
      <c r="K20" s="79"/>
    </row>
    <row r="21" spans="1:11" ht="15" customHeight="1">
      <c r="D21" s="220"/>
      <c r="E21" s="35" t="s">
        <v>149</v>
      </c>
      <c r="F21" s="38"/>
      <c r="G21" s="38" t="str">
        <f>traduzioni!A15</f>
        <v>Longitud de la unión</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Acción axial paralela a la conexión</v>
      </c>
      <c r="H23" s="177">
        <v>0</v>
      </c>
      <c r="I23" s="35"/>
      <c r="J23" s="35" t="s">
        <v>250</v>
      </c>
      <c r="K23" s="79" t="str">
        <f>IF(H23&gt;0,traduzioni!A22,traduzioni!A23)</f>
        <v>- compresión</v>
      </c>
    </row>
    <row r="24" spans="1:11" ht="15" customHeight="1">
      <c r="D24" s="220"/>
      <c r="E24" s="35" t="s">
        <v>1394</v>
      </c>
      <c r="F24" s="38"/>
      <c r="G24" s="38" t="str">
        <f>traduzioni!A17</f>
        <v>Corte perpendicular a la conexión, dirección-x</v>
      </c>
      <c r="H24" s="177">
        <v>0</v>
      </c>
      <c r="I24" s="35"/>
      <c r="J24" s="35" t="s">
        <v>250</v>
      </c>
      <c r="K24" s="79"/>
    </row>
    <row r="25" spans="1:11" ht="15" customHeight="1">
      <c r="D25" s="220"/>
      <c r="E25" s="35" t="s">
        <v>1395</v>
      </c>
      <c r="F25" s="38"/>
      <c r="G25" s="38" t="str">
        <f>traduzioni!A18</f>
        <v>Corte perpendicular a la conexión, dirección-z</v>
      </c>
      <c r="H25" s="177">
        <v>0</v>
      </c>
      <c r="I25" s="35"/>
      <c r="J25" s="35" t="s">
        <v>250</v>
      </c>
      <c r="K25" s="79"/>
    </row>
    <row r="26" spans="1:11" ht="15" customHeight="1">
      <c r="D26" s="220"/>
      <c r="E26" s="35" t="s">
        <v>1396</v>
      </c>
      <c r="F26" s="38"/>
      <c r="G26" s="38" t="str">
        <f>traduzioni!A19</f>
        <v>Momento flector paralelo a la conexión</v>
      </c>
      <c r="H26" s="177">
        <v>11.9</v>
      </c>
      <c r="I26" s="35"/>
      <c r="J26" s="35" t="s">
        <v>251</v>
      </c>
      <c r="K26" s="79" t="str">
        <f>IF(H26&gt;0,traduzioni!A24,traduzioni!A25)</f>
        <v>+ fibras inferiores en tracción</v>
      </c>
    </row>
    <row r="27" spans="1:11" ht="15" customHeight="1">
      <c r="D27" s="220"/>
      <c r="E27" s="35"/>
      <c r="F27" s="38"/>
      <c r="G27" s="38" t="str">
        <f>traduzioni!A20</f>
        <v>Fibras inferiores en tracción</v>
      </c>
      <c r="H27" s="35" t="str">
        <f>IF(H26&gt;0,"POS","NEG")</f>
        <v>POS</v>
      </c>
      <c r="I27" s="35"/>
      <c r="J27" s="35"/>
      <c r="K27" s="79"/>
    </row>
    <row r="28" spans="1:11" ht="15" customHeight="1">
      <c r="D28" s="221"/>
      <c r="E28" s="73" t="s">
        <v>1397</v>
      </c>
      <c r="F28" s="74"/>
      <c r="G28" s="74" t="str">
        <f>traduzioni!A21</f>
        <v>Momento perpendicular a la conexión, plano-xz</v>
      </c>
      <c r="H28" s="180">
        <v>0</v>
      </c>
      <c r="I28" s="73"/>
      <c r="J28" s="73" t="s">
        <v>251</v>
      </c>
      <c r="K28" s="80" t="str">
        <f>traduzioni!A186</f>
        <v>(flexión de vigas de hormigón)</v>
      </c>
    </row>
    <row r="29" spans="1:11" ht="15" customHeight="1"/>
    <row r="30" spans="1:11" ht="15" customHeight="1">
      <c r="D30" s="230" t="str">
        <f>traduzioni!A32</f>
        <v>Composición del panel</v>
      </c>
      <c r="E30" s="70"/>
      <c r="F30" s="71"/>
      <c r="G30" s="71" t="str">
        <f>traduzioni!A33</f>
        <v>Clase</v>
      </c>
      <c r="H30" s="179" t="s">
        <v>71</v>
      </c>
      <c r="I30" s="70"/>
      <c r="J30" s="70"/>
      <c r="K30" s="75"/>
    </row>
    <row r="31" spans="1:11" ht="15" customHeight="1">
      <c r="D31" s="231"/>
      <c r="E31" s="35"/>
      <c r="F31" s="38"/>
      <c r="G31" s="38" t="str">
        <f>traduzioni!A34</f>
        <v>Número de capas</v>
      </c>
      <c r="H31" s="177" t="s">
        <v>662</v>
      </c>
      <c r="I31" s="35"/>
      <c r="J31" s="35"/>
      <c r="K31" s="79"/>
    </row>
    <row r="32" spans="1:11" ht="15" customHeight="1">
      <c r="D32" s="231"/>
      <c r="E32" s="35"/>
      <c r="F32" s="38"/>
      <c r="G32" s="38" t="str">
        <f>traduzioni!A35</f>
        <v>Tipo</v>
      </c>
      <c r="H32" s="235" t="s">
        <v>663</v>
      </c>
      <c r="I32" s="236"/>
      <c r="J32" s="237"/>
      <c r="K32" s="79"/>
    </row>
    <row r="33" spans="4:14" ht="15" customHeight="1">
      <c r="D33" s="231"/>
      <c r="E33" s="35"/>
      <c r="F33" s="38"/>
      <c r="G33" s="38" t="str">
        <f>traduzioni!A36</f>
        <v>Espesor</v>
      </c>
      <c r="H33" s="35">
        <f>VLOOKUP(H32,CLT!F24:H76,3,FALSE)</f>
        <v>260</v>
      </c>
      <c r="I33" s="35"/>
      <c r="J33" s="35" t="s">
        <v>35</v>
      </c>
      <c r="K33" s="79"/>
    </row>
    <row r="34" spans="4:14" ht="15" customHeight="1">
      <c r="D34" s="232"/>
      <c r="E34" s="73"/>
      <c r="F34" s="74"/>
      <c r="G34" s="74" t="str">
        <f>traduzioni!A37</f>
        <v xml:space="preserve">Orientación </v>
      </c>
      <c r="H34" s="180" t="s">
        <v>97</v>
      </c>
      <c r="I34" s="233" t="str">
        <f>IF($H$34="L",traduzioni!A38,IF(H34="T",traduzioni!A39))</f>
        <v>L-Fibras capas externas perpendiculares a la línea de unión</v>
      </c>
      <c r="J34" s="233"/>
      <c r="K34" s="234"/>
    </row>
    <row r="35" spans="4:14" ht="15" customHeight="1"/>
    <row r="36" spans="4:14" ht="15" customHeight="1">
      <c r="D36" s="219" t="str">
        <f>traduzioni!A40</f>
        <v>Tornillos</v>
      </c>
      <c r="E36" s="70"/>
      <c r="F36" s="71"/>
      <c r="G36" s="71" t="str">
        <f>traduzioni!A41</f>
        <v>Tipo de tornillo</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Diámetro</v>
      </c>
      <c r="H38" s="35">
        <f>VLOOKUP(H36,SCREWS!E11:F14,2,FALSE)</f>
        <v>11</v>
      </c>
      <c r="I38" s="35"/>
      <c r="J38" s="35" t="s">
        <v>35</v>
      </c>
      <c r="K38" s="79"/>
    </row>
    <row r="39" spans="4:14" ht="15" customHeight="1">
      <c r="D39" s="220"/>
      <c r="E39" s="35" t="s">
        <v>22</v>
      </c>
      <c r="F39" s="38"/>
      <c r="G39" s="38" t="str">
        <f>traduzioni!A43</f>
        <v xml:space="preserve">Longitud </v>
      </c>
      <c r="H39" s="35">
        <f>VLOOKUP(H37,SCREWS!X28:AJ98,3,FALSE)</f>
        <v>450</v>
      </c>
      <c r="I39" s="35"/>
      <c r="J39" s="35" t="s">
        <v>35</v>
      </c>
      <c r="K39" s="79"/>
    </row>
    <row r="40" spans="4:14" ht="15" customHeight="1">
      <c r="D40" s="220"/>
      <c r="E40" s="35" t="s">
        <v>157</v>
      </c>
      <c r="F40" s="38"/>
      <c r="G40" s="38" t="str">
        <f>traduzioni!A44</f>
        <v>Separación superior</v>
      </c>
      <c r="H40" s="177">
        <v>200</v>
      </c>
      <c r="I40" s="35"/>
      <c r="J40" s="35" t="s">
        <v>35</v>
      </c>
      <c r="K40" s="79" t="str">
        <f>IF(H40&lt;=300,IF(H40&gt;10*H38,"emin&lt;esup&lt;emax","out of min/max spacing!"))</f>
        <v>emin&lt;esup&lt;emax</v>
      </c>
    </row>
    <row r="41" spans="4:14" ht="15" customHeight="1">
      <c r="D41" s="220"/>
      <c r="E41" s="35" t="s">
        <v>158</v>
      </c>
      <c r="F41" s="38"/>
      <c r="G41" s="38" t="str">
        <f>traduzioni!A45</f>
        <v>Separación inferior</v>
      </c>
      <c r="H41" s="177">
        <v>200</v>
      </c>
      <c r="I41" s="35"/>
      <c r="J41" s="35" t="s">
        <v>35</v>
      </c>
      <c r="K41" s="79" t="str">
        <f>IF(H41&lt;=300,IF(H41&gt;10*H38,"emin&lt;einf&lt;emax","out of min/max spacing!"))</f>
        <v>emin&lt;einf&lt;emax</v>
      </c>
    </row>
    <row r="42" spans="4:14" ht="15" customHeight="1">
      <c r="D42" s="220"/>
      <c r="E42" s="35"/>
      <c r="F42" s="38"/>
      <c r="G42" s="38" t="str">
        <f>traduzioni!A46</f>
        <v>Tabla (Y/N)</v>
      </c>
      <c r="H42" s="177" t="s">
        <v>307</v>
      </c>
      <c r="I42" s="149">
        <v>20</v>
      </c>
      <c r="J42" s="35" t="s">
        <v>35</v>
      </c>
      <c r="K42" s="79"/>
    </row>
    <row r="43" spans="4:14" ht="15" customHeight="1">
      <c r="D43" s="220"/>
      <c r="E43" s="35" t="s">
        <v>234</v>
      </c>
      <c r="F43" s="38"/>
      <c r="G43" s="38" t="str">
        <f>traduzioni!A47</f>
        <v>Número de tornillos superiores/metro</v>
      </c>
      <c r="H43" s="81">
        <f>H21/H40</f>
        <v>5</v>
      </c>
      <c r="I43" s="35"/>
      <c r="J43" s="35" t="s">
        <v>275</v>
      </c>
      <c r="K43" s="79"/>
    </row>
    <row r="44" spans="4:14" ht="15" customHeight="1">
      <c r="D44" s="220"/>
      <c r="E44" s="35" t="s">
        <v>235</v>
      </c>
      <c r="F44" s="38"/>
      <c r="G44" s="38" t="str">
        <f>traduzioni!A48</f>
        <v>Número de tornillos inferiores/metro</v>
      </c>
      <c r="H44" s="81">
        <f>H21/H41</f>
        <v>5</v>
      </c>
      <c r="I44" s="35"/>
      <c r="J44" s="35" t="s">
        <v>275</v>
      </c>
      <c r="K44" s="79"/>
    </row>
    <row r="45" spans="4:14" ht="15" customHeight="1">
      <c r="D45" s="220"/>
      <c r="E45" s="35" t="s">
        <v>154</v>
      </c>
      <c r="F45" s="38"/>
      <c r="G45" s="38" t="str">
        <f>traduzioni!A49</f>
        <v>Longitud del anclaje mínima (hormigón)</v>
      </c>
      <c r="H45" s="35">
        <f>MAX(9*H38,100)</f>
        <v>100</v>
      </c>
      <c r="I45" s="35"/>
      <c r="J45" s="35" t="s">
        <v>35</v>
      </c>
      <c r="K45" s="79"/>
    </row>
    <row r="46" spans="4:14" ht="15" customHeight="1">
      <c r="D46" s="220"/>
      <c r="E46" s="35" t="s">
        <v>155</v>
      </c>
      <c r="F46" s="38"/>
      <c r="G46" s="38" t="str">
        <f>traduzioni!A50</f>
        <v>Longitud de superposición mínima (hormigón)</v>
      </c>
      <c r="H46" s="35">
        <f>MAX(14*H38,150)</f>
        <v>154</v>
      </c>
      <c r="J46" s="35" t="s">
        <v>35</v>
      </c>
      <c r="K46" s="79"/>
    </row>
    <row r="47" spans="4:14" ht="15" customHeight="1">
      <c r="D47" s="220"/>
      <c r="E47" s="35" t="s">
        <v>344</v>
      </c>
      <c r="F47" s="38"/>
      <c r="G47" s="38" t="str">
        <f>traduzioni!A51</f>
        <v>Longitud de penetración mínima (timber)</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Distancia borde a4t</v>
      </c>
      <c r="H48" s="177">
        <v>45</v>
      </c>
      <c r="I48" s="35"/>
      <c r="J48" s="35" t="s">
        <v>35</v>
      </c>
      <c r="K48" s="79"/>
      <c r="N48" s="29"/>
    </row>
    <row r="49" spans="4:19" ht="15" customHeight="1">
      <c r="D49" s="221"/>
      <c r="E49" s="73" t="s">
        <v>156</v>
      </c>
      <c r="F49" s="74"/>
      <c r="G49" s="74" t="str">
        <f>traduzioni!A53</f>
        <v>Distancia mínima borde a4t</v>
      </c>
      <c r="H49" s="73">
        <f>6*H38</f>
        <v>66</v>
      </c>
      <c r="I49" s="73"/>
      <c r="J49" s="73" t="s">
        <v>35</v>
      </c>
      <c r="K49" s="80" t="str">
        <f>IF(H48&lt;H49,"a4&lt;a4min","a4&gt;a4min")</f>
        <v>a4&lt;a4min</v>
      </c>
      <c r="L49" t="s">
        <v>343</v>
      </c>
      <c r="N49" s="29"/>
    </row>
    <row r="50" spans="4:19" ht="15" customHeight="1"/>
    <row r="51" spans="4:19" ht="15" customHeight="1">
      <c r="D51" s="219" t="str">
        <f>traduzioni!A54</f>
        <v>Hormigón</v>
      </c>
      <c r="E51" s="70"/>
      <c r="F51" s="71"/>
      <c r="G51" s="71" t="str">
        <f>traduzioni!A55</f>
        <v>Clase de hormigón</v>
      </c>
      <c r="H51" s="179" t="s">
        <v>64</v>
      </c>
      <c r="I51" s="70"/>
      <c r="J51" s="70"/>
      <c r="K51" s="83" t="str">
        <f>IF(H51="C20/25","NOT COVERED BY ETA","OK")</f>
        <v>OK</v>
      </c>
      <c r="P51" s="9"/>
      <c r="Q51" s="9"/>
      <c r="R51" s="9"/>
    </row>
    <row r="52" spans="4:19" ht="15" customHeight="1">
      <c r="D52" s="220"/>
      <c r="E52" s="35" t="s">
        <v>159</v>
      </c>
      <c r="F52" s="38"/>
      <c r="G52" s="38" t="str">
        <f>traduzioni!A56</f>
        <v>Diámetro estribos</v>
      </c>
      <c r="H52" s="177">
        <v>6</v>
      </c>
      <c r="I52" s="35"/>
      <c r="J52" s="35" t="s">
        <v>35</v>
      </c>
      <c r="K52" s="79"/>
      <c r="P52" s="9"/>
      <c r="Q52" s="9"/>
      <c r="R52" s="9"/>
    </row>
    <row r="53" spans="4:19" ht="15" customHeight="1">
      <c r="D53" s="220"/>
      <c r="E53" s="35" t="s">
        <v>160</v>
      </c>
      <c r="F53" s="38"/>
      <c r="G53" s="38" t="str">
        <f>traduzioni!A57</f>
        <v>Diámetro barras longitudinales</v>
      </c>
      <c r="H53" s="177">
        <v>8</v>
      </c>
      <c r="I53" s="35"/>
      <c r="J53" s="35" t="s">
        <v>35</v>
      </c>
      <c r="K53" s="79"/>
    </row>
    <row r="54" spans="4:19" ht="15" customHeight="1">
      <c r="D54" s="220"/>
      <c r="E54" s="35" t="s">
        <v>161</v>
      </c>
      <c r="F54" s="38"/>
      <c r="G54" s="38" t="str">
        <f>traduzioni!A58</f>
        <v>Diámetro áridos (*)</v>
      </c>
      <c r="H54" s="177">
        <v>10</v>
      </c>
      <c r="I54" s="35"/>
      <c r="J54" s="35" t="s">
        <v>35</v>
      </c>
      <c r="K54" s="239" t="str">
        <f>traduzioni!A221</f>
        <v>(*) Para diámetros de los áridos superiores a 15 mm, evaluar las condiciones de vertido del hormigón</v>
      </c>
      <c r="P54" s="9"/>
      <c r="Q54" s="9"/>
      <c r="R54" s="9"/>
    </row>
    <row r="55" spans="4:19" ht="15" customHeight="1">
      <c r="D55" s="220"/>
      <c r="E55" s="35"/>
      <c r="F55" s="38"/>
      <c r="G55" s="38" t="str">
        <f>traduzioni!A59</f>
        <v>Clase de exposición ambiental</v>
      </c>
      <c r="H55" s="35" t="str">
        <f>CONCRETE!G9</f>
        <v>XC1</v>
      </c>
      <c r="I55" s="35"/>
      <c r="J55" s="35"/>
      <c r="K55" s="239"/>
      <c r="P55" s="9"/>
      <c r="Q55" s="4"/>
      <c r="R55" s="9"/>
    </row>
    <row r="56" spans="4:19" ht="15" customHeight="1">
      <c r="D56" s="220"/>
      <c r="E56" s="35" t="s">
        <v>162</v>
      </c>
      <c r="F56" s="38"/>
      <c r="G56" s="38" t="str">
        <f>traduzioni!A60</f>
        <v>Recubrimiento mínimo estribos</v>
      </c>
      <c r="H56" s="35">
        <f>CONCRETE!H17</f>
        <v>20</v>
      </c>
      <c r="I56" s="35"/>
      <c r="J56" s="35" t="s">
        <v>35</v>
      </c>
      <c r="K56" s="239"/>
      <c r="Q56" s="2"/>
    </row>
    <row r="57" spans="4:19" ht="15" customHeight="1">
      <c r="D57" s="220"/>
      <c r="E57" s="35" t="s">
        <v>163</v>
      </c>
      <c r="F57" s="38"/>
      <c r="G57" s="38" t="str">
        <f>traduzioni!A61</f>
        <v>Recubrimiento mínimo barras longitudinales</v>
      </c>
      <c r="H57" s="35">
        <f>CONCRETE!H18</f>
        <v>20</v>
      </c>
      <c r="I57" s="35"/>
      <c r="J57" s="35" t="s">
        <v>35</v>
      </c>
      <c r="K57" s="79"/>
      <c r="Q57" s="3"/>
      <c r="R57" s="2"/>
      <c r="S57" s="2"/>
    </row>
    <row r="58" spans="4:19" ht="15" customHeight="1">
      <c r="D58" s="220"/>
      <c r="E58" s="35" t="s">
        <v>128</v>
      </c>
      <c r="F58" s="38"/>
      <c r="G58" s="38" t="str">
        <f>traduzioni!A62</f>
        <v>Distancia eje barras longitudinales</v>
      </c>
      <c r="H58" s="35">
        <f>CONCRETE!H20</f>
        <v>24</v>
      </c>
      <c r="I58" s="35"/>
      <c r="J58" s="35" t="s">
        <v>35</v>
      </c>
      <c r="K58" s="79"/>
    </row>
    <row r="59" spans="4:19" ht="15" customHeight="1">
      <c r="D59" s="221"/>
      <c r="E59" s="73" t="s">
        <v>405</v>
      </c>
      <c r="F59" s="74"/>
      <c r="G59" s="74" t="str">
        <f>traduzioni!A63</f>
        <v>Anchura mínima dala</v>
      </c>
      <c r="H59" s="73">
        <f>H58+H58+H46</f>
        <v>202</v>
      </c>
      <c r="I59" s="73"/>
      <c r="J59" s="73" t="s">
        <v>35</v>
      </c>
      <c r="K59" s="80"/>
    </row>
    <row r="60" spans="4:19" ht="15" customHeight="1"/>
    <row r="61" spans="4:19" ht="15" customHeight="1">
      <c r="D61" s="219" t="str">
        <f>traduzioni!A64</f>
        <v>Resistencias</v>
      </c>
      <c r="E61" s="70" t="s">
        <v>165</v>
      </c>
      <c r="F61" s="71"/>
      <c r="G61" s="71" t="str">
        <f>traduzioni!A65</f>
        <v>Resistencia a la compresión madera (diseño)</v>
      </c>
      <c r="H61" s="84">
        <f>CLT!N18</f>
        <v>19.200000000000003</v>
      </c>
      <c r="I61" s="70"/>
      <c r="J61" s="70" t="s">
        <v>100</v>
      </c>
      <c r="K61" s="75"/>
    </row>
    <row r="62" spans="4:19" ht="15" customHeight="1">
      <c r="D62" s="220"/>
      <c r="E62" s="35" t="s">
        <v>167</v>
      </c>
      <c r="F62" s="38"/>
      <c r="G62" s="38" t="str">
        <f>traduzioni!A66</f>
        <v>Resistencia a la compresión hormigón (diseño)</v>
      </c>
      <c r="H62" s="81">
        <f>CONCRETE!H30</f>
        <v>14.166666666666666</v>
      </c>
      <c r="I62" s="35"/>
      <c r="J62" s="35" t="s">
        <v>100</v>
      </c>
      <c r="K62" s="79"/>
    </row>
    <row r="63" spans="4:19" ht="15" customHeight="1">
      <c r="D63" s="220"/>
      <c r="E63" s="35" t="s">
        <v>166</v>
      </c>
      <c r="F63" s="38"/>
      <c r="G63" s="38" t="str">
        <f>traduzioni!A67</f>
        <v>min(T,CA)</v>
      </c>
      <c r="H63" s="81">
        <f>MIN(H61,H62)</f>
        <v>14.166666666666666</v>
      </c>
      <c r="I63" s="35"/>
      <c r="J63" s="35" t="s">
        <v>100</v>
      </c>
      <c r="K63" s="79"/>
    </row>
    <row r="64" spans="4:19" ht="15" customHeight="1">
      <c r="D64" s="221"/>
      <c r="E64" s="73" t="s">
        <v>168</v>
      </c>
      <c r="F64" s="74"/>
      <c r="G64" s="74" t="str">
        <f>traduzioni!A68</f>
        <v>Tensión de adhesión</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Geometría efectiva</v>
      </c>
      <c r="E66" s="70"/>
      <c r="F66" s="71"/>
      <c r="G66" s="71" t="str">
        <f>traduzioni!A70</f>
        <v>Distancia eje barras longitudinales</v>
      </c>
      <c r="H66" s="70">
        <f>H58+IF(H42="N",(0),IF(H42="Y",(I42)))</f>
        <v>24</v>
      </c>
      <c r="I66" s="70"/>
      <c r="J66" s="70" t="s">
        <v>35</v>
      </c>
      <c r="K66" s="75"/>
    </row>
    <row r="67" spans="4:46" ht="15" customHeight="1">
      <c r="D67" s="220"/>
      <c r="E67" s="35" t="s">
        <v>164</v>
      </c>
      <c r="F67" s="38"/>
      <c r="G67" s="38" t="str">
        <f>traduzioni!A71</f>
        <v>Longitud efectiva dala</v>
      </c>
      <c r="H67" s="177">
        <v>200</v>
      </c>
      <c r="I67" s="35"/>
      <c r="J67" s="35" t="s">
        <v>35</v>
      </c>
      <c r="K67" s="79"/>
    </row>
    <row r="68" spans="4:46" ht="15" customHeight="1">
      <c r="D68" s="220"/>
      <c r="E68" s="35"/>
      <c r="F68" s="38"/>
      <c r="G68" s="38" t="str">
        <f>traduzioni!A72</f>
        <v>Longitud de superposición</v>
      </c>
      <c r="H68" s="35">
        <f>H67-2*CONCRETE!M14</f>
        <v>160</v>
      </c>
      <c r="I68" s="35"/>
      <c r="J68" s="35" t="s">
        <v>35</v>
      </c>
      <c r="K68" s="79"/>
    </row>
    <row r="69" spans="4:46" ht="15" customHeight="1">
      <c r="D69" s="220"/>
      <c r="E69" s="35"/>
      <c r="F69" s="38"/>
      <c r="G69" s="38" t="str">
        <f>traduzioni!A73</f>
        <v>Longitud de anclaje</v>
      </c>
      <c r="H69" s="35">
        <f>H68+CONCRETE!M14</f>
        <v>180</v>
      </c>
      <c r="I69" s="35"/>
      <c r="J69" s="35"/>
      <c r="K69" s="79"/>
    </row>
    <row r="70" spans="4:46" ht="15" customHeight="1">
      <c r="D70" s="220"/>
      <c r="E70" s="35"/>
      <c r="F70" s="38"/>
      <c r="G70" s="38" t="str">
        <f>traduzioni!A74</f>
        <v>Distancia desde el borde real tornillos</v>
      </c>
      <c r="H70" s="35">
        <f>MAX(H48,(H66+H53/2+H38/2))</f>
        <v>45</v>
      </c>
      <c r="I70" s="35"/>
      <c r="J70" s="35" t="s">
        <v>35</v>
      </c>
      <c r="K70" s="79"/>
    </row>
    <row r="71" spans="4:46" ht="15" customHeight="1">
      <c r="D71" s="220"/>
      <c r="E71" s="35"/>
      <c r="F71" s="38"/>
      <c r="G71" s="38" t="str">
        <f>traduzioni!A75</f>
        <v>Comprobación coherencia posición tornillos/barras</v>
      </c>
      <c r="H71" s="35" t="str">
        <f>IF(H70&gt;=I71,"YES &gt;","NO, INCREASE a4 to")</f>
        <v>YES &gt;</v>
      </c>
      <c r="I71" s="35">
        <f>IF(H42="N",(H66+H53/2+H38/2+'CLT EDGE DISTANCE'!D15),IF(H42="Y",(H66+H53/2+H38/2+'CLT EDGE DISTANCE'!D15)))</f>
        <v>35.5</v>
      </c>
      <c r="J71" s="35" t="s">
        <v>35</v>
      </c>
      <c r="K71" s="238" t="str">
        <f>traduzioni!A81</f>
        <v>(*) Se supone que el tornillo penetra en la dala hasta la barra de armadura opuesta</v>
      </c>
    </row>
    <row r="72" spans="4:46" ht="15" customHeight="1">
      <c r="D72" s="220"/>
      <c r="E72" s="35" t="s">
        <v>248</v>
      </c>
      <c r="F72" s="38"/>
      <c r="G72" s="85" t="str">
        <f>traduzioni!A76</f>
        <v>Distancia tornillos borde superior</v>
      </c>
      <c r="H72" s="86">
        <f>H33-H70</f>
        <v>215</v>
      </c>
      <c r="I72" s="86"/>
      <c r="J72" s="86" t="s">
        <v>35</v>
      </c>
      <c r="K72" s="238"/>
    </row>
    <row r="73" spans="4:46" ht="15" customHeight="1">
      <c r="D73" s="220"/>
      <c r="E73" s="35" t="s">
        <v>249</v>
      </c>
      <c r="F73" s="38"/>
      <c r="G73" s="38" t="str">
        <f>traduzioni!A77</f>
        <v>Longitud rosca tornillo HORM (*)</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Longitud rosca tornillo Madera</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Longitud eficaz rosca tornillo Madera</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Distancia entre tornillos superiores/inferiores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Comprobación</v>
      </c>
      <c r="E78" s="70" t="s">
        <v>383</v>
      </c>
      <c r="F78" s="71"/>
      <c r="G78" s="71" t="str">
        <f>traduzioni!A83</f>
        <v>Acción máxima en un solo tornillo</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Resistencia axial un solo tornillo lado madera/acero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 xml:space="preserve">Coeficiente de trabajo esfuerzo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Máxima acción de corte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 xml:space="preserve">Resistencia al corte de un solo tornillo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 xml:space="preserve">Coeficiente de trabajo esfuerzo corte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 xml:space="preserve">Coeficiente de trabajo combinación corte tracción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Comprobación anclaje lado hormigón</v>
      </c>
      <c r="E86" s="134"/>
      <c r="F86" s="10"/>
      <c r="G86" s="71" t="str">
        <f>traduzioni!A91</f>
        <v>Longitud efectiva</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Longitud mínimo anclaje</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 xml:space="preserve">Coeficiente de trabajo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Longitud efectiva</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Longitud mínima solapamiento</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Coeficiente de trabajo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Rigideces</v>
      </c>
      <c r="E93" s="70" t="s">
        <v>252</v>
      </c>
      <c r="F93" s="71"/>
      <c r="G93" s="71" t="str">
        <f>traduzioni!A98</f>
        <v>Rigidez al corte</v>
      </c>
      <c r="H93" s="139">
        <f>'CALCOLI STS (slab to slab)'!H110</f>
        <v>19283.483171659776</v>
      </c>
      <c r="I93" s="134"/>
      <c r="J93" s="134" t="str">
        <f>'CALCOLI STS (slab to slab)'!J110</f>
        <v>[N/mm/m]</v>
      </c>
      <c r="K93" s="240" t="str">
        <f>traduzioni!A222</f>
        <v>(*) Duplicar la rigidez en caso de conexión no simétrica con un solo plano de conexión</v>
      </c>
    </row>
    <row r="94" spans="4:46" ht="15" customHeight="1">
      <c r="D94" s="244"/>
      <c r="E94" s="35" t="s">
        <v>270</v>
      </c>
      <c r="F94" s="38"/>
      <c r="G94" s="38" t="str">
        <f>traduzioni!A99</f>
        <v>Rigidez axial</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Rigidez rotacional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Corta/Instantánea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CÁLCULO TC FUSION - Comprobación</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Cálculo eje neutro - Flexión</v>
      </c>
      <c r="E73" s="70" t="s">
        <v>1396</v>
      </c>
      <c r="F73" s="71"/>
      <c r="G73" s="71" t="str">
        <f>traduzioni!A102</f>
        <v xml:space="preserve">Momento de flexión respecto a los tornillos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 xml:space="preserve">Eje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 xml:space="preserve">Parte comprimida primera lámina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 xml:space="preserve">Parte comprimida segunda lámina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 xml:space="preserve">Parte comprimida tercera lámina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 xml:space="preserve">Posición resultante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Brazo de palanca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Cálculo esfuerzos</v>
      </c>
      <c r="E82" s="70"/>
      <c r="F82" s="71"/>
      <c r="G82" s="71" t="str">
        <f>traduzioni!A110</f>
        <v>Acción máxima en todos los tornillos</v>
      </c>
      <c r="H82" s="94">
        <f>(H9/(H80/1000)+H6)</f>
        <v>55.861088014360853</v>
      </c>
      <c r="I82" s="94"/>
      <c r="J82" s="70" t="s">
        <v>55</v>
      </c>
      <c r="K82" s="252" t="str">
        <f>traduzioni!A119</f>
        <v>(*) Se considera que la tracción es absorbida únicamente por los tornillos en la línea inferior</v>
      </c>
      <c r="L82" t="str">
        <f>IF(H10="POS",traduzioni!A120, IF(H10="NEG",traduzioni!A121,"NO"))</f>
        <v>Fibras inferiores en tracción</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Acción máxima en un solo tornillo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Acción máxima tornillos dentro del plano en un solo tornillo superior</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Acción máxima tornillos dentro del plano en un solo tornillo inferior</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Acción máxima tornillos fuera del plano en un solo tornillo superior</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Acción máxima tornillos fuera del plano en un solo tornillo inferior</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Acción combinada en un solo tornillo superior</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Acción combinada en un solo tornillo inferior</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Máxima acción de corte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Comprobación</v>
      </c>
      <c r="E93" s="70" t="s">
        <v>169</v>
      </c>
      <c r="F93" s="71"/>
      <c r="G93" s="71" t="str">
        <f>traduzioni!A123</f>
        <v>Resistencia axial un solo tornillo lado madera/acero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 xml:space="preserve">Resistencia al corte de un solo tornillo </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 xml:space="preserve">Coeficiente de trabajo esfuerzo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 xml:space="preserve">Coeficiente de trabajo esfuerzo corte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 xml:space="preserve">Coeficiente de trabajo combinación corte tracción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Comprobación anclaje lado hormigón</v>
      </c>
      <c r="E99" s="70" t="s">
        <v>136</v>
      </c>
      <c r="F99" s="71"/>
      <c r="G99" s="71" t="str">
        <f>traduzioni!A129</f>
        <v>Longitud anclaje requerida</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Longitud mínima anclaje</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Longitud efectiva</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Longitud anclaje</v>
      </c>
      <c r="H102" s="35">
        <f>MAX(9*H24,100)</f>
        <v>100</v>
      </c>
      <c r="I102" s="35"/>
      <c r="J102" s="35" t="s">
        <v>35</v>
      </c>
      <c r="K102" s="79"/>
    </row>
    <row r="103" spans="4:37" ht="15" customHeight="1">
      <c r="D103" s="244"/>
      <c r="E103" s="96" t="s">
        <v>141</v>
      </c>
      <c r="F103" s="38"/>
      <c r="G103" s="97" t="str">
        <f>traduzioni!A133</f>
        <v xml:space="preserve">Coeficiente de trabajo </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 xml:space="preserve">Longitud solapamiento </v>
      </c>
      <c r="H105" s="81">
        <f>1.5*H100</f>
        <v>41.622859635702824</v>
      </c>
      <c r="I105" s="81"/>
      <c r="J105" s="35" t="s">
        <v>35</v>
      </c>
      <c r="K105" s="79"/>
    </row>
    <row r="106" spans="4:37" ht="15" customHeight="1">
      <c r="D106" s="244"/>
      <c r="E106" s="35" t="s">
        <v>144</v>
      </c>
      <c r="F106" s="38"/>
      <c r="G106" s="38" t="str">
        <f>traduzioni!A135</f>
        <v>Longitud mínima solapamiento</v>
      </c>
      <c r="H106" s="35">
        <f>MAX(14*H24,150)</f>
        <v>154</v>
      </c>
      <c r="I106" s="35"/>
      <c r="J106" s="35" t="s">
        <v>35</v>
      </c>
      <c r="K106" s="79"/>
      <c r="L106" t="s">
        <v>339</v>
      </c>
    </row>
    <row r="107" spans="4:37" ht="15" customHeight="1">
      <c r="D107" s="244"/>
      <c r="E107" s="35"/>
      <c r="F107" s="38"/>
      <c r="G107" s="38" t="str">
        <f>traduzioni!A136</f>
        <v>Longitud efectiva</v>
      </c>
      <c r="H107" s="35">
        <f>H54</f>
        <v>160</v>
      </c>
      <c r="I107" s="35"/>
      <c r="J107" s="35" t="s">
        <v>35</v>
      </c>
      <c r="K107" s="79"/>
    </row>
    <row r="108" spans="4:37" ht="15" customHeight="1">
      <c r="D108" s="245"/>
      <c r="E108" s="100" t="s">
        <v>146</v>
      </c>
      <c r="F108" s="74"/>
      <c r="G108" s="101" t="str">
        <f>traduzioni!A137</f>
        <v>Coeficiente de trabajo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Rigidez corte/flexión</v>
      </c>
      <c r="E110" s="70" t="s">
        <v>252</v>
      </c>
      <c r="F110" s="71"/>
      <c r="G110" s="71" t="str">
        <f>traduzioni!A139</f>
        <v>Rigidez al corte</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primera capa</v>
      </c>
      <c r="H112" s="38">
        <f>IF(H20="L",Y70,IF(H20="T",Y71))</f>
        <v>40</v>
      </c>
      <c r="I112" s="35"/>
      <c r="J112" s="35" t="s">
        <v>35</v>
      </c>
      <c r="K112" s="79"/>
    </row>
    <row r="113" spans="4:20" ht="15" customHeight="1">
      <c r="D113" s="220"/>
      <c r="E113" s="35"/>
      <c r="F113" s="38"/>
      <c r="G113" s="88" t="str">
        <f>traduzioni!A141</f>
        <v>25 % espesor</v>
      </c>
      <c r="H113" s="38">
        <f>IF(AND(GEOMETRY!H34="T",H19=160),0.25*(H19-Y70),IF(GEOMETRY!H34="T",0.25*H19-Y70,0.25*H19))</f>
        <v>65</v>
      </c>
      <c r="I113" s="35"/>
      <c r="J113" s="35" t="s">
        <v>35</v>
      </c>
      <c r="K113" s="79"/>
      <c r="T113" t="s">
        <v>255</v>
      </c>
    </row>
    <row r="114" spans="4:20" ht="15" customHeight="1">
      <c r="D114" s="220"/>
      <c r="E114" s="35"/>
      <c r="F114" s="38"/>
      <c r="G114" s="88" t="str">
        <f>traduzioni!A142</f>
        <v>a_t(25%)</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Cálculo longitud comprimida por rigidez</v>
      </c>
      <c r="H116" s="82">
        <f>MIN(H112,H113)</f>
        <v>40</v>
      </c>
      <c r="I116" s="35"/>
      <c r="J116" s="35" t="s">
        <v>35</v>
      </c>
      <c r="K116" s="79"/>
    </row>
    <row r="117" spans="4:20" ht="15" customHeight="1">
      <c r="D117" s="220"/>
      <c r="E117" s="35" t="s">
        <v>258</v>
      </c>
      <c r="F117" s="38"/>
      <c r="G117" s="38" t="str">
        <f>traduzioni!A144</f>
        <v>Brazo de palanca</v>
      </c>
      <c r="H117" s="82">
        <f>IF(GEOMETRY!H34="T",H56-Y70-H116/2,H56-H116/2)</f>
        <v>195</v>
      </c>
      <c r="I117" s="35"/>
      <c r="J117" s="35" t="s">
        <v>35</v>
      </c>
      <c r="K117" s="79"/>
    </row>
    <row r="118" spans="4:20" ht="15" customHeight="1">
      <c r="D118" s="220"/>
      <c r="E118" s="35" t="s">
        <v>260</v>
      </c>
      <c r="F118" s="38"/>
      <c r="G118" s="38" t="str">
        <f>traduzioni!A145</f>
        <v>Momento de referencia</v>
      </c>
      <c r="H118" s="82">
        <v>1000</v>
      </c>
      <c r="I118" s="35"/>
      <c r="J118" s="35" t="s">
        <v>261</v>
      </c>
      <c r="K118" s="79"/>
    </row>
    <row r="119" spans="4:20" ht="15" customHeight="1">
      <c r="D119" s="220"/>
      <c r="E119" s="35" t="s">
        <v>259</v>
      </c>
      <c r="F119" s="38"/>
      <c r="G119" s="38" t="str">
        <f>traduzioni!A146</f>
        <v>Fuerza en los tornillos de referencia</v>
      </c>
      <c r="H119" s="82">
        <f>H118/(H117/1000)</f>
        <v>5128.2051282051279</v>
      </c>
      <c r="I119" s="35"/>
      <c r="J119" s="35" t="s">
        <v>278</v>
      </c>
      <c r="K119" s="79"/>
      <c r="L119" t="s">
        <v>346</v>
      </c>
    </row>
    <row r="120" spans="4:20" ht="15" customHeight="1">
      <c r="D120" s="220"/>
      <c r="E120" s="35" t="s">
        <v>268</v>
      </c>
      <c r="F120" s="38"/>
      <c r="G120" s="38" t="str">
        <f>traduzioni!A147</f>
        <v>Anchura de referencia</v>
      </c>
      <c r="H120" s="82">
        <v>1000</v>
      </c>
      <c r="I120" s="35"/>
      <c r="J120" s="35" t="s">
        <v>35</v>
      </c>
      <c r="K120" s="79"/>
    </row>
    <row r="121" spans="4:20" ht="15" customHeight="1">
      <c r="D121" s="220"/>
      <c r="E121" s="35" t="s">
        <v>263</v>
      </c>
      <c r="F121" s="38"/>
      <c r="G121" s="38" t="str">
        <f>traduzioni!A148</f>
        <v xml:space="preserve">Rigidez a compresión </v>
      </c>
      <c r="H121" s="82">
        <f>CLT!N15*H120/4</f>
        <v>2875000</v>
      </c>
      <c r="I121" s="35"/>
      <c r="J121" s="35" t="s">
        <v>278</v>
      </c>
      <c r="K121" s="79"/>
      <c r="L121" t="s">
        <v>347</v>
      </c>
    </row>
    <row r="122" spans="4:20" ht="15" customHeight="1">
      <c r="D122" s="220"/>
      <c r="E122" s="35" t="s">
        <v>270</v>
      </c>
      <c r="F122" s="38"/>
      <c r="G122" s="38" t="str">
        <f>traduzioni!A149</f>
        <v>Rigidez axial</v>
      </c>
      <c r="H122" s="82">
        <f>(25*SCREWS!E23*MIN(20*SCREWS!E23,SCREWS!I30))*(H32+H33)/2</f>
        <v>302500</v>
      </c>
      <c r="I122" s="35"/>
      <c r="J122" s="35" t="s">
        <v>276</v>
      </c>
      <c r="K122" s="79"/>
      <c r="L122" t="s">
        <v>348</v>
      </c>
    </row>
    <row r="123" spans="4:20" ht="15" customHeight="1">
      <c r="D123" s="220"/>
      <c r="E123" s="35" t="s">
        <v>281</v>
      </c>
      <c r="F123" s="38"/>
      <c r="G123" s="38" t="str">
        <f>traduzioni!A150</f>
        <v>Tornillos en zona de tensión</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Deformación de la zona comprimida</v>
      </c>
      <c r="H125" s="90">
        <f>H119/H121</f>
        <v>1.7837235228539575E-3</v>
      </c>
      <c r="I125" s="35"/>
      <c r="J125" s="35" t="s">
        <v>35</v>
      </c>
      <c r="K125" s="79"/>
      <c r="L125" t="s">
        <v>351</v>
      </c>
    </row>
    <row r="126" spans="4:20" ht="15" customHeight="1">
      <c r="D126" s="220"/>
      <c r="E126" s="35" t="s">
        <v>279</v>
      </c>
      <c r="F126" s="38"/>
      <c r="G126" s="38" t="str">
        <f>traduzioni!A152</f>
        <v>Deformación de las fijaciones</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Duplicar la rigidez en caso de conexión no simétrica con un solo plano de conexión</v>
      </c>
    </row>
    <row r="128" spans="4:20" ht="15" customHeight="1">
      <c r="D128" s="220"/>
      <c r="E128" s="104" t="s">
        <v>283</v>
      </c>
      <c r="F128" s="38"/>
      <c r="G128" s="38" t="str">
        <f>traduzioni!A153</f>
        <v>Ángulo de rotación unitario</v>
      </c>
      <c r="H128" s="187">
        <f>ATAN((ABS(H126)+ABS(H125))/(H117))</f>
        <v>9.608444969572163E-5</v>
      </c>
      <c r="I128" s="35"/>
      <c r="J128" s="35" t="s">
        <v>1426</v>
      </c>
      <c r="K128" s="241"/>
      <c r="L128" t="s">
        <v>350</v>
      </c>
    </row>
    <row r="129" spans="4:12" ht="15" customHeight="1">
      <c r="D129" s="221"/>
      <c r="E129" s="73" t="s">
        <v>285</v>
      </c>
      <c r="F129" s="74"/>
      <c r="G129" s="74" t="str">
        <f>traduzioni!A154</f>
        <v>Rigidez rotacional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celdas editables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Distancia de la línea de tornillos bajos desde el borde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Tabla t</v>
      </c>
      <c r="D12">
        <f>IF(GEOMETRY!H42="N",0,GEOMETRY!I42)</f>
        <v>0</v>
      </c>
      <c r="E12" t="s">
        <v>35</v>
      </c>
      <c r="F12" s="121"/>
    </row>
    <row r="13" spans="2:6" ht="15" customHeight="1">
      <c r="B13" s="120"/>
      <c r="C13" s="68" t="str">
        <f>CONCATENATE(traduzioni!A158," c")</f>
        <v>Posición barra longitudinal c</v>
      </c>
      <c r="D13">
        <f>CONCRETE!H20</f>
        <v>24</v>
      </c>
      <c r="E13" t="s">
        <v>35</v>
      </c>
      <c r="F13" s="121"/>
    </row>
    <row r="14" spans="2:6" ht="15" customHeight="1">
      <c r="B14" s="120"/>
      <c r="C14" s="68" t="str">
        <f>traduzioni!A159</f>
        <v>Barra longitudinal (1/2 diám.)</v>
      </c>
      <c r="D14">
        <f>0.5*'CALCOLI STS (slab to slab)'!H38</f>
        <v>4</v>
      </c>
      <c r="E14" t="s">
        <v>35</v>
      </c>
      <c r="F14" s="121"/>
    </row>
    <row r="15" spans="2:6" ht="15" customHeight="1">
      <c r="B15" s="120"/>
      <c r="C15" s="68" t="str">
        <f>traduzioni!A160</f>
        <v>Tolerancia en curvatura estribos</v>
      </c>
      <c r="D15" s="182">
        <v>2</v>
      </c>
      <c r="E15" t="s">
        <v>35</v>
      </c>
      <c r="F15" s="121"/>
    </row>
    <row r="16" spans="2:6" ht="15" customHeight="1">
      <c r="B16" s="120"/>
      <c r="C16" s="68" t="str">
        <f>traduzioni!A161</f>
        <v>Tornillo (1/2 diám.)</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celdas editables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Clase de exposición ambiental</v>
      </c>
      <c r="G9" s="182" t="s">
        <v>44</v>
      </c>
      <c r="N9" s="121"/>
      <c r="P9" s="120"/>
      <c r="Q9" s="257" t="str">
        <f>CONCATENATE(traduzioni!A223," [mm]")</f>
        <v>Recubrimiento mínimo requerido [mm]</v>
      </c>
      <c r="R9" s="257"/>
      <c r="S9" s="257"/>
      <c r="T9" s="257"/>
      <c r="U9" s="257"/>
      <c r="V9" s="257"/>
      <c r="W9" s="121"/>
    </row>
    <row r="10" spans="2:23" ht="15" customHeight="1">
      <c r="B10" s="120"/>
      <c r="C10" t="str">
        <f>traduzioni!A165</f>
        <v>Clase estructural</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Recubrimiento mínimo para estribos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Recubrimiento mínimo para barras longitudinales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Recubrimiento mínimo para barras longitudinales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celdas editables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Larga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Corta</v>
      </c>
      <c r="X12">
        <v>0.9</v>
      </c>
    </row>
    <row r="13" spans="5:24" ht="15" customHeight="1">
      <c r="E13" s="120"/>
      <c r="F13" s="183" t="s">
        <v>393</v>
      </c>
      <c r="G13" s="182"/>
      <c r="H13" s="182"/>
      <c r="I13" s="182"/>
      <c r="J13" s="182"/>
      <c r="K13" s="182" t="s">
        <v>267</v>
      </c>
      <c r="P13" s="121"/>
      <c r="W13" t="str">
        <f>traduzioni!A30</f>
        <v>Instantánea</v>
      </c>
      <c r="X13">
        <v>1.1000000000000001</v>
      </c>
    </row>
    <row r="14" spans="5:24" ht="15" customHeight="1">
      <c r="E14" s="120"/>
      <c r="M14" t="s">
        <v>89</v>
      </c>
      <c r="N14">
        <f>VLOOKUP($M$9,$F$11:$K$13,4,FALSE)</f>
        <v>380</v>
      </c>
      <c r="O14" t="s">
        <v>91</v>
      </c>
      <c r="P14" s="121"/>
      <c r="W14" t="str">
        <f>traduzioni!A31</f>
        <v>Corta/Instantánea</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Paneles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celdas editables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 conexión madera</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 material acero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 material hormigón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Resistencia axial - Hormigón</v>
      </c>
      <c r="C25" s="274"/>
      <c r="D25" s="274"/>
      <c r="E25" s="274"/>
      <c r="F25" s="275"/>
      <c r="G25" s="279" t="str">
        <f>traduzioni!A176</f>
        <v>Resistencia axial - Madera</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Resistencia al corte - Madera</v>
      </c>
      <c r="C37" s="268"/>
      <c r="D37" s="268"/>
      <c r="E37" s="268"/>
      <c r="F37" s="269"/>
      <c r="G37" s="261" t="str">
        <f>traduzioni!A178</f>
        <v>Resistencia al corte - Acero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 lateral para un solo tornillo</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DC1712D4-1347-4A4B-8337-EBC474A65688}"/>
</file>

<file path=customXml/itemProps2.xml><?xml version="1.0" encoding="utf-8"?>
<ds:datastoreItem xmlns:ds="http://schemas.openxmlformats.org/officeDocument/2006/customXml" ds:itemID="{17279C01-DAB1-4A94-9651-416C23E04035}"/>
</file>

<file path=customXml/itemProps3.xml><?xml version="1.0" encoding="utf-8"?>
<ds:datastoreItem xmlns:ds="http://schemas.openxmlformats.org/officeDocument/2006/customXml" ds:itemID="{21BC4B7D-043A-409B-B08D-B04FC7B2622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